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E1DD" lockStructure="1"/>
  <bookViews>
    <workbookView xWindow="120" yWindow="105" windowWidth="13275" windowHeight="11250" activeTab="1"/>
  </bookViews>
  <sheets>
    <sheet name="License" sheetId="24" r:id="rId1"/>
    <sheet name="Inputs" sheetId="17" r:id="rId2"/>
    <sheet name="GeneralScour" sheetId="1" r:id="rId3"/>
    <sheet name="BendScour" sheetId="19" r:id="rId4"/>
    <sheet name="EquilibriumSlope" sheetId="20" r:id="rId5"/>
    <sheet name="InicipientMotion" sheetId="16" r:id="rId6"/>
    <sheet name="BedForm" sheetId="18" r:id="rId7"/>
    <sheet name="Scour Combinations" sheetId="25" r:id="rId8"/>
    <sheet name="References" sheetId="9" r:id="rId9"/>
    <sheet name="WaterProperties" sheetId="13" r:id="rId10"/>
    <sheet name="ShieldsChart" sheetId="11" r:id="rId11"/>
    <sheet name="USBREnvelopeChart" sheetId="21" r:id="rId12"/>
    <sheet name="LanesTractiveForceTable" sheetId="10" r:id="rId13"/>
    <sheet name="BlenchZeroBedTable" sheetId="2" r:id="rId14"/>
    <sheet name="USACENomograph" sheetId="15" r:id="rId15"/>
    <sheet name="NeillCompVelChart" sheetId="14" r:id="rId16"/>
    <sheet name="NeillCV2feettable" sheetId="3" r:id="rId17"/>
    <sheet name="NeillCV5feettable" sheetId="5" r:id="rId18"/>
    <sheet name="NeillCV10feettable" sheetId="6" r:id="rId19"/>
    <sheet name="NeillCV20feettable" sheetId="7" r:id="rId20"/>
    <sheet name="NeillCV50feettable" sheetId="8" r:id="rId21"/>
    <sheet name="RevisionHistory" sheetId="26" r:id="rId22"/>
  </sheets>
  <definedNames>
    <definedName name="hyddepth">GeneralScour!#REF!</definedName>
    <definedName name="q">Inputs!$B$5</definedName>
    <definedName name="slope">Inputs!$B$14</definedName>
    <definedName name="topwidth">Inputs!$B$6</definedName>
    <definedName name="vavg">Inputs!$B$10</definedName>
    <definedName name="ymax">Inputs!$B$9</definedName>
  </definedNames>
  <calcPr calcId="145621"/>
</workbook>
</file>

<file path=xl/calcChain.xml><?xml version="1.0" encoding="utf-8"?>
<calcChain xmlns="http://schemas.openxmlformats.org/spreadsheetml/2006/main">
  <c r="B7" i="18" l="1"/>
  <c r="B30" i="20"/>
  <c r="B36" i="20" s="1"/>
  <c r="B25" i="20"/>
  <c r="B16" i="20"/>
  <c r="B8" i="1"/>
  <c r="B25" i="19"/>
  <c r="B31" i="20"/>
  <c r="B32" i="20"/>
  <c r="B33" i="20"/>
  <c r="B34" i="20"/>
  <c r="B4" i="18"/>
  <c r="B8" i="18"/>
  <c r="B6" i="18"/>
  <c r="B5" i="18"/>
  <c r="B17" i="19"/>
  <c r="B19" i="19"/>
  <c r="B6" i="19"/>
  <c r="B9" i="19"/>
  <c r="B10" i="19"/>
  <c r="B14" i="19"/>
  <c r="B15" i="19"/>
  <c r="B16" i="19" s="1"/>
  <c r="B51" i="19"/>
  <c r="B52" i="19"/>
  <c r="B53" i="19" s="1"/>
  <c r="B54" i="19"/>
  <c r="B55" i="19"/>
  <c r="B40" i="19"/>
  <c r="B41" i="19"/>
  <c r="B39" i="19"/>
  <c r="B26" i="19"/>
  <c r="B27" i="19"/>
  <c r="B5" i="19"/>
  <c r="B7" i="19"/>
  <c r="B8" i="19"/>
  <c r="E16" i="2"/>
  <c r="D16" i="2"/>
  <c r="E15" i="2"/>
  <c r="D15" i="2"/>
  <c r="E14" i="2"/>
  <c r="D14" i="2"/>
  <c r="E13" i="2"/>
  <c r="D13" i="2"/>
  <c r="E12" i="2"/>
  <c r="D12" i="2"/>
  <c r="E11" i="2"/>
  <c r="D11" i="2"/>
  <c r="E10" i="2"/>
  <c r="D10" i="2"/>
  <c r="E9" i="2"/>
  <c r="D9" i="2"/>
  <c r="E8" i="2"/>
  <c r="D8" i="2"/>
  <c r="E7" i="2"/>
  <c r="D7" i="2"/>
  <c r="E6" i="2"/>
  <c r="D6" i="2"/>
  <c r="E5" i="2"/>
  <c r="D5" i="2"/>
  <c r="E4" i="2"/>
  <c r="D4" i="2"/>
  <c r="E3" i="2"/>
  <c r="D3" i="2"/>
  <c r="E2" i="2"/>
  <c r="D2" i="2"/>
  <c r="B29" i="1" s="1"/>
  <c r="D20" i="11"/>
  <c r="D21" i="11"/>
  <c r="D22" i="11"/>
  <c r="D23" i="11"/>
  <c r="D24" i="11"/>
  <c r="D25" i="11"/>
  <c r="D26" i="11"/>
  <c r="D27" i="11"/>
  <c r="F27" i="11" s="1"/>
  <c r="D28" i="11"/>
  <c r="D29" i="11"/>
  <c r="D30" i="11"/>
  <c r="D31" i="11"/>
  <c r="D32" i="11"/>
  <c r="D33" i="11"/>
  <c r="D34" i="11"/>
  <c r="D35" i="11"/>
  <c r="F35" i="11" s="1"/>
  <c r="D36" i="11"/>
  <c r="D37" i="11"/>
  <c r="D38" i="11"/>
  <c r="D39" i="11"/>
  <c r="D40" i="11"/>
  <c r="D41" i="11"/>
  <c r="D42" i="11"/>
  <c r="D43" i="11"/>
  <c r="F43" i="11" s="1"/>
  <c r="D44" i="11"/>
  <c r="D45" i="11"/>
  <c r="D46" i="11"/>
  <c r="D47" i="11"/>
  <c r="E20" i="11"/>
  <c r="E21" i="11"/>
  <c r="E22" i="11"/>
  <c r="E23" i="11"/>
  <c r="G23" i="11" s="1"/>
  <c r="H23" i="11" s="1"/>
  <c r="E24" i="11"/>
  <c r="E25" i="11"/>
  <c r="E26" i="11"/>
  <c r="G26" i="11" s="1"/>
  <c r="E27" i="11"/>
  <c r="E28" i="11"/>
  <c r="E29" i="11"/>
  <c r="E30" i="11"/>
  <c r="E31" i="11"/>
  <c r="G31" i="11" s="1"/>
  <c r="H31" i="11" s="1"/>
  <c r="E32" i="11"/>
  <c r="E33" i="11"/>
  <c r="E34" i="11"/>
  <c r="G34" i="11" s="1"/>
  <c r="E35" i="11"/>
  <c r="E36" i="11"/>
  <c r="E37" i="11"/>
  <c r="E38" i="11"/>
  <c r="E39" i="11"/>
  <c r="G39" i="11" s="1"/>
  <c r="H39" i="11" s="1"/>
  <c r="E40" i="11"/>
  <c r="E41" i="11"/>
  <c r="E42" i="11"/>
  <c r="G42" i="11" s="1"/>
  <c r="E43" i="11"/>
  <c r="E44" i="11"/>
  <c r="E45" i="11"/>
  <c r="E46" i="11"/>
  <c r="E47" i="11"/>
  <c r="G47" i="11" s="1"/>
  <c r="H47" i="11" s="1"/>
  <c r="B18" i="20"/>
  <c r="B23" i="20"/>
  <c r="D2" i="10"/>
  <c r="H2" i="10"/>
  <c r="D3" i="10"/>
  <c r="H3" i="10"/>
  <c r="D4" i="10"/>
  <c r="H4" i="10" s="1"/>
  <c r="D5" i="10"/>
  <c r="H5" i="10"/>
  <c r="D6" i="10"/>
  <c r="H6" i="10"/>
  <c r="D7" i="10"/>
  <c r="H7" i="10"/>
  <c r="D8" i="10"/>
  <c r="H8" i="10" s="1"/>
  <c r="D9" i="10"/>
  <c r="H9" i="10" s="1"/>
  <c r="D10" i="10"/>
  <c r="H10" i="10"/>
  <c r="D11" i="10"/>
  <c r="H11" i="10"/>
  <c r="D12" i="10"/>
  <c r="H12" i="10" s="1"/>
  <c r="D13" i="10"/>
  <c r="H13" i="10"/>
  <c r="D14" i="10"/>
  <c r="H14" i="10"/>
  <c r="D15" i="10"/>
  <c r="H15" i="10"/>
  <c r="D16" i="10"/>
  <c r="H16" i="10" s="1"/>
  <c r="D17" i="10"/>
  <c r="H17" i="10"/>
  <c r="D18" i="10"/>
  <c r="H18" i="10"/>
  <c r="D19" i="10"/>
  <c r="H19" i="10"/>
  <c r="D20" i="10"/>
  <c r="H20" i="10" s="1"/>
  <c r="D21" i="10"/>
  <c r="H21" i="10"/>
  <c r="D22" i="10"/>
  <c r="H22" i="10"/>
  <c r="D23" i="10"/>
  <c r="H23" i="10"/>
  <c r="D24" i="10"/>
  <c r="H24" i="10" s="1"/>
  <c r="D25" i="10"/>
  <c r="H25" i="10"/>
  <c r="D26" i="10"/>
  <c r="H26" i="10"/>
  <c r="D27" i="10"/>
  <c r="H27" i="10"/>
  <c r="D28" i="10"/>
  <c r="H28" i="10" s="1"/>
  <c r="D29" i="10"/>
  <c r="H29" i="10" s="1"/>
  <c r="D30" i="10"/>
  <c r="H30" i="10"/>
  <c r="D31" i="10"/>
  <c r="H31" i="10"/>
  <c r="D32" i="10"/>
  <c r="H32" i="10" s="1"/>
  <c r="E2" i="10"/>
  <c r="F2" i="10"/>
  <c r="I2" i="10" s="1"/>
  <c r="E3" i="10"/>
  <c r="F3" i="10" s="1"/>
  <c r="I3" i="10" s="1"/>
  <c r="E4" i="10"/>
  <c r="F4" i="10" s="1"/>
  <c r="I4" i="10"/>
  <c r="E5" i="10"/>
  <c r="F5" i="10" s="1"/>
  <c r="I5" i="10" s="1"/>
  <c r="E6" i="10"/>
  <c r="F6" i="10"/>
  <c r="I6" i="10" s="1"/>
  <c r="E7" i="10"/>
  <c r="F7" i="10"/>
  <c r="I7" i="10"/>
  <c r="E8" i="10"/>
  <c r="F8" i="10"/>
  <c r="I8" i="10" s="1"/>
  <c r="E9" i="10"/>
  <c r="F9" i="10" s="1"/>
  <c r="I9" i="10" s="1"/>
  <c r="E10" i="10"/>
  <c r="F10" i="10"/>
  <c r="I10" i="10" s="1"/>
  <c r="E11" i="10"/>
  <c r="F11" i="10" s="1"/>
  <c r="I11" i="10" s="1"/>
  <c r="E12" i="10"/>
  <c r="F12" i="10" s="1"/>
  <c r="I12" i="10"/>
  <c r="E13" i="10"/>
  <c r="F13" i="10" s="1"/>
  <c r="I13" i="10" s="1"/>
  <c r="E14" i="10"/>
  <c r="F14" i="10"/>
  <c r="I14" i="10" s="1"/>
  <c r="E15" i="10"/>
  <c r="F15" i="10"/>
  <c r="I15" i="10"/>
  <c r="E16" i="10"/>
  <c r="F16" i="10"/>
  <c r="I16" i="10" s="1"/>
  <c r="E17" i="10"/>
  <c r="F17" i="10" s="1"/>
  <c r="I17" i="10" s="1"/>
  <c r="E18" i="10"/>
  <c r="F18" i="10"/>
  <c r="I18" i="10" s="1"/>
  <c r="E19" i="10"/>
  <c r="F19" i="10" s="1"/>
  <c r="I19" i="10" s="1"/>
  <c r="E20" i="10"/>
  <c r="F20" i="10" s="1"/>
  <c r="I20" i="10"/>
  <c r="E21" i="10"/>
  <c r="F21" i="10" s="1"/>
  <c r="I21" i="10" s="1"/>
  <c r="E22" i="10"/>
  <c r="F22" i="10"/>
  <c r="I22" i="10" s="1"/>
  <c r="E23" i="10"/>
  <c r="F23" i="10"/>
  <c r="I23" i="10"/>
  <c r="E24" i="10"/>
  <c r="F24" i="10"/>
  <c r="I24" i="10" s="1"/>
  <c r="E25" i="10"/>
  <c r="F25" i="10" s="1"/>
  <c r="I25" i="10" s="1"/>
  <c r="E26" i="10"/>
  <c r="F26" i="10"/>
  <c r="I26" i="10" s="1"/>
  <c r="E27" i="10"/>
  <c r="F27" i="10" s="1"/>
  <c r="I27" i="10" s="1"/>
  <c r="E28" i="10"/>
  <c r="F28" i="10" s="1"/>
  <c r="I28" i="10"/>
  <c r="E29" i="10"/>
  <c r="F29" i="10" s="1"/>
  <c r="I29" i="10" s="1"/>
  <c r="E30" i="10"/>
  <c r="F30" i="10"/>
  <c r="I30" i="10" s="1"/>
  <c r="E31" i="10"/>
  <c r="F31" i="10"/>
  <c r="I31" i="10"/>
  <c r="E32" i="10"/>
  <c r="F32" i="10"/>
  <c r="I32" i="10" s="1"/>
  <c r="B15" i="20"/>
  <c r="B17" i="20"/>
  <c r="B6" i="20"/>
  <c r="B7" i="20"/>
  <c r="B8" i="20"/>
  <c r="B44" i="1"/>
  <c r="B64" i="1" s="1"/>
  <c r="B37" i="1"/>
  <c r="B38" i="1"/>
  <c r="B39" i="1" s="1"/>
  <c r="B40" i="1"/>
  <c r="B28" i="1"/>
  <c r="B31" i="1"/>
  <c r="B32" i="1" s="1"/>
  <c r="B17" i="1"/>
  <c r="B19" i="1" s="1"/>
  <c r="B18" i="1"/>
  <c r="B5" i="1"/>
  <c r="B57" i="1"/>
  <c r="B58" i="1" s="1"/>
  <c r="B49" i="1"/>
  <c r="D2" i="8"/>
  <c r="E2" i="8" s="1"/>
  <c r="G2" i="8" s="1"/>
  <c r="D3" i="8"/>
  <c r="E3" i="8" s="1"/>
  <c r="G3" i="8"/>
  <c r="D4" i="8"/>
  <c r="E4" i="8" s="1"/>
  <c r="G4" i="8"/>
  <c r="D5" i="8"/>
  <c r="E5" i="8"/>
  <c r="G5" i="8" s="1"/>
  <c r="D6" i="8"/>
  <c r="E6" i="8"/>
  <c r="G6" i="8" s="1"/>
  <c r="D7" i="8"/>
  <c r="E7" i="8"/>
  <c r="G7" i="8" s="1"/>
  <c r="D8" i="8"/>
  <c r="E8" i="8" s="1"/>
  <c r="G8" i="8" s="1"/>
  <c r="D9" i="8"/>
  <c r="E9" i="8"/>
  <c r="G9" i="8" s="1"/>
  <c r="D10" i="8"/>
  <c r="E10" i="8" s="1"/>
  <c r="G10" i="8" s="1"/>
  <c r="D11" i="8"/>
  <c r="E11" i="8" s="1"/>
  <c r="G11" i="8"/>
  <c r="D12" i="8"/>
  <c r="E12" i="8" s="1"/>
  <c r="G12" i="8"/>
  <c r="D13" i="8"/>
  <c r="E13" i="8"/>
  <c r="G13" i="8" s="1"/>
  <c r="D14" i="8"/>
  <c r="E14" i="8"/>
  <c r="G14" i="8" s="1"/>
  <c r="D15" i="8"/>
  <c r="E15" i="8"/>
  <c r="G15" i="8" s="1"/>
  <c r="D16" i="8"/>
  <c r="E16" i="8" s="1"/>
  <c r="G16" i="8" s="1"/>
  <c r="D17" i="8"/>
  <c r="E17" i="8"/>
  <c r="G17" i="8" s="1"/>
  <c r="D18" i="8"/>
  <c r="E18" i="8" s="1"/>
  <c r="G18" i="8" s="1"/>
  <c r="D19" i="8"/>
  <c r="E19" i="8" s="1"/>
  <c r="G19" i="8"/>
  <c r="D20" i="8"/>
  <c r="E20" i="8" s="1"/>
  <c r="G20" i="8"/>
  <c r="D21" i="8"/>
  <c r="E21" i="8"/>
  <c r="G21" i="8" s="1"/>
  <c r="D22" i="8"/>
  <c r="E22" i="8"/>
  <c r="G22" i="8" s="1"/>
  <c r="D23" i="8"/>
  <c r="E23" i="8"/>
  <c r="G23" i="8" s="1"/>
  <c r="D24" i="8"/>
  <c r="E24" i="8" s="1"/>
  <c r="G24" i="8" s="1"/>
  <c r="D25" i="8"/>
  <c r="E25" i="8"/>
  <c r="G25" i="8" s="1"/>
  <c r="F2" i="8"/>
  <c r="H2" i="8"/>
  <c r="F3" i="8"/>
  <c r="H3" i="8" s="1"/>
  <c r="F4" i="8"/>
  <c r="H4" i="8"/>
  <c r="F5" i="8"/>
  <c r="H5" i="8"/>
  <c r="F6" i="8"/>
  <c r="H6" i="8"/>
  <c r="F7" i="8"/>
  <c r="H7" i="8" s="1"/>
  <c r="F8" i="8"/>
  <c r="H8" i="8"/>
  <c r="F9" i="8"/>
  <c r="H9" i="8"/>
  <c r="F10" i="8"/>
  <c r="H10" i="8"/>
  <c r="F11" i="8"/>
  <c r="H11" i="8" s="1"/>
  <c r="F12" i="8"/>
  <c r="H12" i="8"/>
  <c r="F13" i="8"/>
  <c r="H13" i="8"/>
  <c r="F14" i="8"/>
  <c r="H14" i="8"/>
  <c r="F15" i="8"/>
  <c r="H15" i="8" s="1"/>
  <c r="F16" i="8"/>
  <c r="H16" i="8"/>
  <c r="F17" i="8"/>
  <c r="H17" i="8"/>
  <c r="F18" i="8"/>
  <c r="H18" i="8"/>
  <c r="F19" i="8"/>
  <c r="H19" i="8" s="1"/>
  <c r="F20" i="8"/>
  <c r="H20" i="8" s="1"/>
  <c r="F21" i="8"/>
  <c r="H21" i="8"/>
  <c r="F22" i="8"/>
  <c r="H22" i="8"/>
  <c r="F23" i="8"/>
  <c r="H23" i="8" s="1"/>
  <c r="F24" i="8"/>
  <c r="H24" i="8"/>
  <c r="F25" i="8"/>
  <c r="H25" i="8"/>
  <c r="D2" i="7"/>
  <c r="E2" i="7" s="1"/>
  <c r="G2" i="7" s="1"/>
  <c r="D3" i="7"/>
  <c r="E3" i="7"/>
  <c r="G3" i="7" s="1"/>
  <c r="D4" i="7"/>
  <c r="E4" i="7" s="1"/>
  <c r="G4" i="7"/>
  <c r="D5" i="7"/>
  <c r="E5" i="7" s="1"/>
  <c r="G5" i="7" s="1"/>
  <c r="D6" i="7"/>
  <c r="E6" i="7" s="1"/>
  <c r="G6" i="7"/>
  <c r="D7" i="7"/>
  <c r="E7" i="7"/>
  <c r="G7" i="7" s="1"/>
  <c r="D8" i="7"/>
  <c r="E8" i="7"/>
  <c r="G8" i="7"/>
  <c r="D9" i="7"/>
  <c r="E9" i="7"/>
  <c r="G9" i="7" s="1"/>
  <c r="D10" i="7"/>
  <c r="E10" i="7" s="1"/>
  <c r="G10" i="7" s="1"/>
  <c r="D11" i="7"/>
  <c r="E11" i="7"/>
  <c r="G11" i="7" s="1"/>
  <c r="D12" i="7"/>
  <c r="E12" i="7" s="1"/>
  <c r="G12" i="7"/>
  <c r="D13" i="7"/>
  <c r="E13" i="7" s="1"/>
  <c r="G13" i="7" s="1"/>
  <c r="D14" i="7"/>
  <c r="E14" i="7" s="1"/>
  <c r="G14" i="7"/>
  <c r="D15" i="7"/>
  <c r="E15" i="7"/>
  <c r="G15" i="7" s="1"/>
  <c r="D16" i="7"/>
  <c r="E16" i="7"/>
  <c r="G16" i="7"/>
  <c r="D17" i="7"/>
  <c r="E17" i="7"/>
  <c r="G17" i="7" s="1"/>
  <c r="D18" i="7"/>
  <c r="E18" i="7" s="1"/>
  <c r="G18" i="7" s="1"/>
  <c r="D19" i="7"/>
  <c r="E19" i="7"/>
  <c r="G19" i="7" s="1"/>
  <c r="D20" i="7"/>
  <c r="E20" i="7" s="1"/>
  <c r="G20" i="7"/>
  <c r="D21" i="7"/>
  <c r="E21" i="7" s="1"/>
  <c r="G21" i="7" s="1"/>
  <c r="D22" i="7"/>
  <c r="E22" i="7" s="1"/>
  <c r="G22" i="7"/>
  <c r="D23" i="7"/>
  <c r="E23" i="7"/>
  <c r="G23" i="7" s="1"/>
  <c r="D24" i="7"/>
  <c r="E24" i="7"/>
  <c r="G24" i="7"/>
  <c r="D25" i="7"/>
  <c r="E25" i="7"/>
  <c r="G25" i="7" s="1"/>
  <c r="D26" i="7"/>
  <c r="E26" i="7" s="1"/>
  <c r="G26" i="7" s="1"/>
  <c r="D27" i="7"/>
  <c r="E27" i="7"/>
  <c r="G27" i="7" s="1"/>
  <c r="D28" i="7"/>
  <c r="E28" i="7" s="1"/>
  <c r="G28" i="7"/>
  <c r="D29" i="7"/>
  <c r="E29" i="7" s="1"/>
  <c r="G29" i="7" s="1"/>
  <c r="F2" i="7"/>
  <c r="H2" i="7"/>
  <c r="F3" i="7"/>
  <c r="H3" i="7"/>
  <c r="F4" i="7"/>
  <c r="H4" i="7" s="1"/>
  <c r="F5" i="7"/>
  <c r="H5" i="7" s="1"/>
  <c r="F6" i="7"/>
  <c r="H6" i="7"/>
  <c r="F7" i="7"/>
  <c r="H7" i="7"/>
  <c r="F8" i="7"/>
  <c r="H8" i="7" s="1"/>
  <c r="F9" i="7"/>
  <c r="H9" i="7"/>
  <c r="F10" i="7"/>
  <c r="H10" i="7"/>
  <c r="F11" i="7"/>
  <c r="H11" i="7"/>
  <c r="F12" i="7"/>
  <c r="H12" i="7" s="1"/>
  <c r="F13" i="7"/>
  <c r="H13" i="7"/>
  <c r="F14" i="7"/>
  <c r="H14" i="7"/>
  <c r="F15" i="7"/>
  <c r="H15" i="7"/>
  <c r="F16" i="7"/>
  <c r="H16" i="7" s="1"/>
  <c r="F17" i="7"/>
  <c r="H17" i="7" s="1"/>
  <c r="F18" i="7"/>
  <c r="H18" i="7"/>
  <c r="F19" i="7"/>
  <c r="H19" i="7"/>
  <c r="F20" i="7"/>
  <c r="H20" i="7" s="1"/>
  <c r="F21" i="7"/>
  <c r="H21" i="7"/>
  <c r="F22" i="7"/>
  <c r="H22" i="7"/>
  <c r="F23" i="7"/>
  <c r="H23" i="7"/>
  <c r="F24" i="7"/>
  <c r="H24" i="7" s="1"/>
  <c r="F25" i="7"/>
  <c r="H25" i="7"/>
  <c r="F26" i="7"/>
  <c r="H26" i="7"/>
  <c r="F27" i="7"/>
  <c r="H27" i="7"/>
  <c r="F28" i="7"/>
  <c r="H28" i="7" s="1"/>
  <c r="F29" i="7"/>
  <c r="H29" i="7"/>
  <c r="D2" i="6"/>
  <c r="E2" i="6" s="1"/>
  <c r="G2" i="6"/>
  <c r="D3" i="6"/>
  <c r="E3" i="6" s="1"/>
  <c r="G3" i="6"/>
  <c r="D4" i="6"/>
  <c r="E4" i="6" s="1"/>
  <c r="G4" i="6" s="1"/>
  <c r="D5" i="6"/>
  <c r="E5" i="6"/>
  <c r="G5" i="6" s="1"/>
  <c r="D6" i="6"/>
  <c r="E6" i="6"/>
  <c r="G6" i="6" s="1"/>
  <c r="D7" i="6"/>
  <c r="E7" i="6"/>
  <c r="G7" i="6" s="1"/>
  <c r="D8" i="6"/>
  <c r="E8" i="6" s="1"/>
  <c r="G8" i="6" s="1"/>
  <c r="D9" i="6"/>
  <c r="E9" i="6"/>
  <c r="G9" i="6" s="1"/>
  <c r="D10" i="6"/>
  <c r="E10" i="6" s="1"/>
  <c r="G10" i="6"/>
  <c r="D11" i="6"/>
  <c r="E11" i="6" s="1"/>
  <c r="G11" i="6"/>
  <c r="D12" i="6"/>
  <c r="E12" i="6" s="1"/>
  <c r="G12" i="6" s="1"/>
  <c r="D13" i="6"/>
  <c r="E13" i="6"/>
  <c r="G13" i="6" s="1"/>
  <c r="D14" i="6"/>
  <c r="E14" i="6"/>
  <c r="G14" i="6" s="1"/>
  <c r="D15" i="6"/>
  <c r="E15" i="6"/>
  <c r="G15" i="6" s="1"/>
  <c r="D16" i="6"/>
  <c r="E16" i="6" s="1"/>
  <c r="G16" i="6" s="1"/>
  <c r="D17" i="6"/>
  <c r="E17" i="6"/>
  <c r="G17" i="6" s="1"/>
  <c r="D18" i="6"/>
  <c r="E18" i="6" s="1"/>
  <c r="G18" i="6"/>
  <c r="D19" i="6"/>
  <c r="E19" i="6" s="1"/>
  <c r="G19" i="6"/>
  <c r="D20" i="6"/>
  <c r="E20" i="6" s="1"/>
  <c r="G20" i="6" s="1"/>
  <c r="D21" i="6"/>
  <c r="E21" i="6"/>
  <c r="G21" i="6" s="1"/>
  <c r="D22" i="6"/>
  <c r="E22" i="6"/>
  <c r="G22" i="6" s="1"/>
  <c r="D23" i="6"/>
  <c r="E23" i="6"/>
  <c r="G23" i="6" s="1"/>
  <c r="D24" i="6"/>
  <c r="E24" i="6" s="1"/>
  <c r="G24" i="6" s="1"/>
  <c r="D25" i="6"/>
  <c r="E25" i="6"/>
  <c r="G25" i="6" s="1"/>
  <c r="F2" i="6"/>
  <c r="H2" i="6"/>
  <c r="F3" i="6"/>
  <c r="H3" i="6" s="1"/>
  <c r="F4" i="6"/>
  <c r="H4" i="6" s="1"/>
  <c r="F5" i="6"/>
  <c r="H5" i="6"/>
  <c r="F6" i="6"/>
  <c r="H6" i="6"/>
  <c r="F7" i="6"/>
  <c r="H7" i="6" s="1"/>
  <c r="F8" i="6"/>
  <c r="H8" i="6"/>
  <c r="F9" i="6"/>
  <c r="H9" i="6"/>
  <c r="F10" i="6"/>
  <c r="H10" i="6"/>
  <c r="F11" i="6"/>
  <c r="H11" i="6" s="1"/>
  <c r="F12" i="6"/>
  <c r="H12" i="6"/>
  <c r="F13" i="6"/>
  <c r="H13" i="6"/>
  <c r="F14" i="6"/>
  <c r="H14" i="6"/>
  <c r="F15" i="6"/>
  <c r="H15" i="6" s="1"/>
  <c r="F16" i="6"/>
  <c r="H16" i="6" s="1"/>
  <c r="F17" i="6"/>
  <c r="H17" i="6"/>
  <c r="F18" i="6"/>
  <c r="H18" i="6"/>
  <c r="F19" i="6"/>
  <c r="H19" i="6" s="1"/>
  <c r="F20" i="6"/>
  <c r="H20" i="6"/>
  <c r="F21" i="6"/>
  <c r="H21" i="6"/>
  <c r="F22" i="6"/>
  <c r="H22" i="6"/>
  <c r="F23" i="6"/>
  <c r="H23" i="6" s="1"/>
  <c r="F24" i="6"/>
  <c r="H24" i="6"/>
  <c r="F25" i="6"/>
  <c r="H25" i="6"/>
  <c r="D2" i="5"/>
  <c r="E2" i="5"/>
  <c r="G2" i="5" s="1"/>
  <c r="D3" i="5"/>
  <c r="E3" i="5"/>
  <c r="G3" i="5" s="1"/>
  <c r="D4" i="5"/>
  <c r="E4" i="5" s="1"/>
  <c r="G4" i="5"/>
  <c r="D5" i="5"/>
  <c r="E5" i="5" s="1"/>
  <c r="G5" i="5" s="1"/>
  <c r="D6" i="5"/>
  <c r="E6" i="5" s="1"/>
  <c r="G6" i="5"/>
  <c r="D7" i="5"/>
  <c r="E7" i="5"/>
  <c r="G7" i="5"/>
  <c r="D8" i="5"/>
  <c r="E8" i="5"/>
  <c r="G8" i="5" s="1"/>
  <c r="D9" i="5"/>
  <c r="E9" i="5"/>
  <c r="G9" i="5" s="1"/>
  <c r="D10" i="5"/>
  <c r="E10" i="5"/>
  <c r="G10" i="5" s="1"/>
  <c r="D11" i="5"/>
  <c r="E11" i="5"/>
  <c r="G11" i="5" s="1"/>
  <c r="D12" i="5"/>
  <c r="E12" i="5" s="1"/>
  <c r="G12" i="5" s="1"/>
  <c r="D13" i="5"/>
  <c r="E13" i="5" s="1"/>
  <c r="G13" i="5"/>
  <c r="D14" i="5"/>
  <c r="E14" i="5" s="1"/>
  <c r="G14" i="5"/>
  <c r="D15" i="5"/>
  <c r="E15" i="5"/>
  <c r="G15" i="5"/>
  <c r="D16" i="5"/>
  <c r="E16" i="5"/>
  <c r="G16" i="5"/>
  <c r="D17" i="5"/>
  <c r="E17" i="5"/>
  <c r="G17" i="5" s="1"/>
  <c r="D18" i="5"/>
  <c r="E18" i="5"/>
  <c r="G18" i="5" s="1"/>
  <c r="D19" i="5"/>
  <c r="E19" i="5" s="1"/>
  <c r="G19" i="5" s="1"/>
  <c r="D20" i="5"/>
  <c r="E20" i="5" s="1"/>
  <c r="G20" i="5"/>
  <c r="D21" i="5"/>
  <c r="E21" i="5" s="1"/>
  <c r="G21" i="5"/>
  <c r="D22" i="5"/>
  <c r="E22" i="5" s="1"/>
  <c r="G22" i="5"/>
  <c r="D23" i="5"/>
  <c r="E23" i="5"/>
  <c r="G23" i="5"/>
  <c r="D24" i="5"/>
  <c r="E24" i="5"/>
  <c r="G24" i="5"/>
  <c r="D25" i="5"/>
  <c r="E25" i="5"/>
  <c r="G25" i="5" s="1"/>
  <c r="D26" i="5"/>
  <c r="E26" i="5" s="1"/>
  <c r="G26" i="5" s="1"/>
  <c r="D27" i="5"/>
  <c r="E27" i="5"/>
  <c r="G27" i="5" s="1"/>
  <c r="D28" i="5"/>
  <c r="E28" i="5" s="1"/>
  <c r="G28" i="5"/>
  <c r="F2" i="5"/>
  <c r="H2" i="5"/>
  <c r="F3" i="5"/>
  <c r="H3" i="5" s="1"/>
  <c r="F4" i="5"/>
  <c r="H4" i="5" s="1"/>
  <c r="F5" i="5"/>
  <c r="H5" i="5" s="1"/>
  <c r="F6" i="5"/>
  <c r="H6" i="5"/>
  <c r="F7" i="5"/>
  <c r="H7" i="5" s="1"/>
  <c r="F8" i="5"/>
  <c r="H8" i="5" s="1"/>
  <c r="F9" i="5"/>
  <c r="H9" i="5"/>
  <c r="F10" i="5"/>
  <c r="H10" i="5"/>
  <c r="F11" i="5"/>
  <c r="H11" i="5" s="1"/>
  <c r="F12" i="5"/>
  <c r="H12" i="5" s="1"/>
  <c r="F13" i="5"/>
  <c r="H13" i="5"/>
  <c r="F14" i="5"/>
  <c r="H14" i="5"/>
  <c r="F15" i="5"/>
  <c r="H15" i="5" s="1"/>
  <c r="F16" i="5"/>
  <c r="H16" i="5" s="1"/>
  <c r="F17" i="5"/>
  <c r="H17" i="5"/>
  <c r="F18" i="5"/>
  <c r="H18" i="5"/>
  <c r="F19" i="5"/>
  <c r="H19" i="5" s="1"/>
  <c r="F20" i="5"/>
  <c r="H20" i="5" s="1"/>
  <c r="F21" i="5"/>
  <c r="H21" i="5" s="1"/>
  <c r="F22" i="5"/>
  <c r="H22" i="5"/>
  <c r="F23" i="5"/>
  <c r="H23" i="5" s="1"/>
  <c r="F24" i="5"/>
  <c r="H24" i="5" s="1"/>
  <c r="F25" i="5"/>
  <c r="H25" i="5"/>
  <c r="F26" i="5"/>
  <c r="H26" i="5"/>
  <c r="F27" i="5"/>
  <c r="H27" i="5" s="1"/>
  <c r="F28" i="5"/>
  <c r="H28" i="5" s="1"/>
  <c r="D2" i="3"/>
  <c r="E2" i="3" s="1"/>
  <c r="G2" i="3" s="1"/>
  <c r="D3" i="3"/>
  <c r="E3" i="3" s="1"/>
  <c r="G3" i="3"/>
  <c r="D4" i="3"/>
  <c r="E4" i="3"/>
  <c r="G4" i="3"/>
  <c r="D5" i="3"/>
  <c r="E5" i="3"/>
  <c r="G5" i="3" s="1"/>
  <c r="D6" i="3"/>
  <c r="E6" i="3"/>
  <c r="G6" i="3" s="1"/>
  <c r="D7" i="3"/>
  <c r="E7" i="3"/>
  <c r="G7" i="3" s="1"/>
  <c r="D8" i="3"/>
  <c r="E8" i="3"/>
  <c r="G8" i="3" s="1"/>
  <c r="D9" i="3"/>
  <c r="E9" i="3" s="1"/>
  <c r="G9" i="3" s="1"/>
  <c r="D10" i="3"/>
  <c r="E10" i="3" s="1"/>
  <c r="G10" i="3"/>
  <c r="D11" i="3"/>
  <c r="E11" i="3" s="1"/>
  <c r="G11" i="3"/>
  <c r="D12" i="3"/>
  <c r="E12" i="3"/>
  <c r="G12" i="3"/>
  <c r="D13" i="3"/>
  <c r="E13" i="3"/>
  <c r="G13" i="3"/>
  <c r="D14" i="3"/>
  <c r="E14" i="3"/>
  <c r="G14" i="3" s="1"/>
  <c r="D15" i="3"/>
  <c r="E15" i="3"/>
  <c r="G15" i="3" s="1"/>
  <c r="D16" i="3"/>
  <c r="E16" i="3" s="1"/>
  <c r="G16" i="3" s="1"/>
  <c r="D17" i="3"/>
  <c r="E17" i="3" s="1"/>
  <c r="G17" i="3"/>
  <c r="D18" i="3"/>
  <c r="E18" i="3" s="1"/>
  <c r="G18" i="3"/>
  <c r="D19" i="3"/>
  <c r="E19" i="3"/>
  <c r="G19" i="3"/>
  <c r="D20" i="3"/>
  <c r="E20" i="3"/>
  <c r="G20" i="3"/>
  <c r="D21" i="3"/>
  <c r="E21" i="3"/>
  <c r="G21" i="3"/>
  <c r="D22" i="3"/>
  <c r="E22" i="3"/>
  <c r="G22" i="3" s="1"/>
  <c r="D23" i="3"/>
  <c r="E23" i="3"/>
  <c r="G23" i="3" s="1"/>
  <c r="D24" i="3"/>
  <c r="E24" i="3"/>
  <c r="G24" i="3"/>
  <c r="D25" i="3"/>
  <c r="E25" i="3"/>
  <c r="G25" i="3" s="1"/>
  <c r="D26" i="3"/>
  <c r="E26" i="3" s="1"/>
  <c r="G26" i="3"/>
  <c r="D27" i="3"/>
  <c r="E27" i="3"/>
  <c r="G27" i="3"/>
  <c r="D28" i="3"/>
  <c r="E28" i="3"/>
  <c r="G28" i="3" s="1"/>
  <c r="F2" i="3"/>
  <c r="H2" i="3"/>
  <c r="F3" i="3"/>
  <c r="H3" i="3"/>
  <c r="F4" i="3"/>
  <c r="H4" i="3"/>
  <c r="F5" i="3"/>
  <c r="H5" i="3" s="1"/>
  <c r="F6" i="3"/>
  <c r="H6" i="3"/>
  <c r="F7" i="3"/>
  <c r="H7" i="3" s="1"/>
  <c r="F8" i="3"/>
  <c r="H8" i="3"/>
  <c r="F9" i="3"/>
  <c r="H9" i="3" s="1"/>
  <c r="F10" i="3"/>
  <c r="H10" i="3" s="1"/>
  <c r="F11" i="3"/>
  <c r="H11" i="3"/>
  <c r="F12" i="3"/>
  <c r="H12" i="3"/>
  <c r="F13" i="3"/>
  <c r="H13" i="3" s="1"/>
  <c r="F14" i="3"/>
  <c r="H14" i="3"/>
  <c r="F15" i="3"/>
  <c r="H15" i="3"/>
  <c r="F16" i="3"/>
  <c r="H16" i="3" s="1"/>
  <c r="F17" i="3"/>
  <c r="H17" i="3" s="1"/>
  <c r="F18" i="3"/>
  <c r="H18" i="3"/>
  <c r="F19" i="3"/>
  <c r="H19" i="3" s="1"/>
  <c r="F20" i="3"/>
  <c r="H20" i="3"/>
  <c r="F21" i="3"/>
  <c r="H21" i="3" s="1"/>
  <c r="F22" i="3"/>
  <c r="H22" i="3"/>
  <c r="F23" i="3"/>
  <c r="H23" i="3"/>
  <c r="F24" i="3"/>
  <c r="H24" i="3"/>
  <c r="F25" i="3"/>
  <c r="H25" i="3" s="1"/>
  <c r="F26" i="3"/>
  <c r="H26" i="3"/>
  <c r="F27" i="3"/>
  <c r="H27" i="3"/>
  <c r="F28" i="3"/>
  <c r="H28" i="3" s="1"/>
  <c r="B20" i="1"/>
  <c r="B60" i="1"/>
  <c r="B59" i="1"/>
  <c r="F47" i="1"/>
  <c r="F50" i="1"/>
  <c r="F51" i="1"/>
  <c r="F52" i="1"/>
  <c r="F53" i="1"/>
  <c r="B22" i="1"/>
  <c r="B15" i="1"/>
  <c r="B52" i="1"/>
  <c r="B6" i="1"/>
  <c r="B42" i="17"/>
  <c r="B16" i="1" s="1"/>
  <c r="B5" i="16"/>
  <c r="B4" i="16"/>
  <c r="B7" i="16" s="1"/>
  <c r="B12" i="16"/>
  <c r="B13" i="16"/>
  <c r="B8" i="16"/>
  <c r="B9" i="16"/>
  <c r="B40" i="17"/>
  <c r="B41" i="17" s="1"/>
  <c r="C33" i="17" s="1"/>
  <c r="E19" i="11"/>
  <c r="G19" i="11" s="1"/>
  <c r="H19" i="11" s="1"/>
  <c r="F48" i="11"/>
  <c r="G46" i="11"/>
  <c r="G45" i="11"/>
  <c r="H45" i="11" s="1"/>
  <c r="H46" i="11"/>
  <c r="G44" i="11"/>
  <c r="H44" i="11" s="1"/>
  <c r="G43" i="11"/>
  <c r="G41" i="11"/>
  <c r="H41" i="11" s="1"/>
  <c r="G40" i="11"/>
  <c r="G38" i="11"/>
  <c r="G37" i="11"/>
  <c r="H37" i="11" s="1"/>
  <c r="H38" i="11"/>
  <c r="G36" i="11"/>
  <c r="H36" i="11" s="1"/>
  <c r="G35" i="11"/>
  <c r="G33" i="11"/>
  <c r="H33" i="11" s="1"/>
  <c r="G32" i="11"/>
  <c r="H32" i="11" s="1"/>
  <c r="G30" i="11"/>
  <c r="G29" i="11"/>
  <c r="H29" i="11" s="1"/>
  <c r="H30" i="11"/>
  <c r="G28" i="11"/>
  <c r="H28" i="11" s="1"/>
  <c r="G27" i="11"/>
  <c r="G25" i="11"/>
  <c r="H25" i="11" s="1"/>
  <c r="G24" i="11"/>
  <c r="H24" i="11" s="1"/>
  <c r="G22" i="11"/>
  <c r="G21" i="11"/>
  <c r="H21" i="11" s="1"/>
  <c r="H22" i="11"/>
  <c r="G20" i="11"/>
  <c r="H20" i="11" s="1"/>
  <c r="E18" i="11"/>
  <c r="G18" i="11"/>
  <c r="H18" i="11" s="1"/>
  <c r="E17" i="11"/>
  <c r="G17" i="11"/>
  <c r="H17" i="11" s="1"/>
  <c r="E16" i="11"/>
  <c r="G16" i="11"/>
  <c r="E15" i="11"/>
  <c r="G15" i="11" s="1"/>
  <c r="E14" i="11"/>
  <c r="G14" i="11" s="1"/>
  <c r="H14" i="11" s="1"/>
  <c r="E13" i="11"/>
  <c r="G13" i="11"/>
  <c r="E12" i="11"/>
  <c r="G12" i="11"/>
  <c r="H12" i="11" s="1"/>
  <c r="H13" i="11"/>
  <c r="E11" i="11"/>
  <c r="G11" i="11"/>
  <c r="E10" i="11"/>
  <c r="G10" i="11"/>
  <c r="H10" i="11" s="1"/>
  <c r="E9" i="11"/>
  <c r="G9" i="11"/>
  <c r="H9" i="11" s="1"/>
  <c r="E8" i="11"/>
  <c r="G8" i="11"/>
  <c r="E7" i="11"/>
  <c r="G7" i="11" s="1"/>
  <c r="E6" i="11"/>
  <c r="G6" i="11" s="1"/>
  <c r="H6" i="11" s="1"/>
  <c r="E5" i="11"/>
  <c r="G5" i="11"/>
  <c r="E4" i="11"/>
  <c r="G4" i="11"/>
  <c r="H4" i="11" s="1"/>
  <c r="H5" i="11"/>
  <c r="E3" i="11"/>
  <c r="G3" i="11"/>
  <c r="E2" i="11"/>
  <c r="G2" i="11"/>
  <c r="H3" i="11" s="1"/>
  <c r="F47" i="11"/>
  <c r="F46" i="11"/>
  <c r="F45" i="11"/>
  <c r="F44" i="11"/>
  <c r="F42" i="11"/>
  <c r="F41" i="11"/>
  <c r="F40" i="11"/>
  <c r="F39" i="11"/>
  <c r="F38" i="11"/>
  <c r="F37" i="11"/>
  <c r="F36" i="11"/>
  <c r="F34" i="11"/>
  <c r="F33" i="11"/>
  <c r="F32" i="11"/>
  <c r="F31" i="11"/>
  <c r="F30" i="11"/>
  <c r="F29" i="11"/>
  <c r="F28" i="11"/>
  <c r="F26" i="11"/>
  <c r="F25" i="11"/>
  <c r="F24" i="11"/>
  <c r="F23" i="11"/>
  <c r="F22" i="11"/>
  <c r="F21" i="11"/>
  <c r="F20" i="11"/>
  <c r="D19" i="11"/>
  <c r="F19" i="11"/>
  <c r="D18" i="11"/>
  <c r="F18" i="11" s="1"/>
  <c r="D17" i="11"/>
  <c r="F17" i="11"/>
  <c r="D16" i="11"/>
  <c r="F16" i="11"/>
  <c r="D15" i="11"/>
  <c r="F15" i="11"/>
  <c r="D14" i="11"/>
  <c r="F14" i="11" s="1"/>
  <c r="D13" i="11"/>
  <c r="F13" i="11"/>
  <c r="D12" i="11"/>
  <c r="F12" i="11"/>
  <c r="D11" i="11"/>
  <c r="F11" i="11"/>
  <c r="D10" i="11"/>
  <c r="F10" i="11" s="1"/>
  <c r="D9" i="11"/>
  <c r="F9" i="11"/>
  <c r="D8" i="11"/>
  <c r="F8" i="11"/>
  <c r="D7" i="11"/>
  <c r="F7" i="11"/>
  <c r="D6" i="11"/>
  <c r="F6" i="11" s="1"/>
  <c r="D5" i="11"/>
  <c r="F5" i="11"/>
  <c r="D4" i="11"/>
  <c r="F4" i="11"/>
  <c r="D3" i="11"/>
  <c r="F3" i="11"/>
  <c r="D2" i="11"/>
  <c r="F2" i="11" s="1"/>
  <c r="B31" i="19" l="1"/>
  <c r="B32" i="19" s="1"/>
  <c r="B9" i="20"/>
  <c r="B21" i="1"/>
  <c r="B23" i="1" s="1"/>
  <c r="B6" i="16"/>
  <c r="B14" i="16" s="1"/>
  <c r="B15" i="16" s="1"/>
  <c r="B16" i="16" s="1"/>
  <c r="B17" i="16" s="1"/>
  <c r="B18" i="16" s="1"/>
  <c r="B19" i="16" s="1"/>
  <c r="B20" i="16" s="1"/>
  <c r="B21" i="16" s="1"/>
  <c r="B22" i="16" s="1"/>
  <c r="B23" i="16" s="1"/>
  <c r="B24" i="16" s="1"/>
  <c r="B25" i="16" s="1"/>
  <c r="B26" i="16" s="1"/>
  <c r="B18" i="19"/>
  <c r="B20" i="19" s="1"/>
  <c r="B21" i="19" s="1"/>
  <c r="B44" i="19"/>
  <c r="B45" i="19" s="1"/>
  <c r="B42" i="1"/>
  <c r="B43" i="1" s="1"/>
  <c r="B45" i="1" s="1"/>
  <c r="B50" i="1"/>
  <c r="B65" i="1"/>
  <c r="B66" i="1" s="1"/>
  <c r="B7" i="1"/>
  <c r="B10" i="1" s="1"/>
  <c r="B11" i="1" s="1"/>
  <c r="B28" i="19"/>
  <c r="B29" i="19" s="1"/>
  <c r="B42" i="19"/>
  <c r="B43" i="19" s="1"/>
  <c r="B46" i="19" s="1"/>
  <c r="B11" i="19"/>
  <c r="B12" i="19" s="1"/>
  <c r="B13" i="19" s="1"/>
  <c r="B19" i="20"/>
  <c r="B57" i="19"/>
  <c r="B59" i="19" s="1"/>
  <c r="B56" i="19"/>
  <c r="B58" i="19" s="1"/>
  <c r="B41" i="1"/>
  <c r="B27" i="1"/>
  <c r="B30" i="1" s="1"/>
  <c r="B33" i="1" s="1"/>
  <c r="G52" i="1"/>
  <c r="H52" i="1" s="1"/>
  <c r="I52" i="1" s="1"/>
  <c r="G47" i="1"/>
  <c r="H47" i="1" s="1"/>
  <c r="I47" i="1" s="1"/>
  <c r="H43" i="11"/>
  <c r="H42" i="11"/>
  <c r="H27" i="11"/>
  <c r="H26" i="11"/>
  <c r="G50" i="1"/>
  <c r="H50" i="1" s="1"/>
  <c r="I50" i="1" s="1"/>
  <c r="G53" i="1"/>
  <c r="H53" i="1" s="1"/>
  <c r="I53" i="1" s="1"/>
  <c r="B24" i="20"/>
  <c r="B26" i="20" s="1"/>
  <c r="H35" i="11"/>
  <c r="H34" i="11"/>
  <c r="H15" i="11"/>
  <c r="H16" i="11"/>
  <c r="H7" i="11"/>
  <c r="H8" i="11"/>
  <c r="H40" i="11"/>
  <c r="G51" i="1"/>
  <c r="H51" i="1" s="1"/>
  <c r="I51" i="1" s="1"/>
  <c r="E48" i="11"/>
  <c r="G48" i="11" s="1"/>
  <c r="H48" i="11" s="1"/>
  <c r="H11" i="11"/>
  <c r="B37" i="20"/>
  <c r="B38" i="20" s="1"/>
  <c r="B39" i="20" s="1"/>
  <c r="B40" i="20" s="1"/>
  <c r="B41" i="20" s="1"/>
  <c r="B42" i="20" s="1"/>
  <c r="B43" i="20" s="1"/>
  <c r="B44" i="20" s="1"/>
  <c r="B45" i="20" s="1"/>
  <c r="B46" i="20" s="1"/>
  <c r="B47" i="20" s="1"/>
  <c r="B48" i="20" s="1"/>
  <c r="B49" i="20" s="1"/>
  <c r="B50" i="20" s="1"/>
  <c r="B51" i="20" s="1"/>
  <c r="B52" i="20" s="1"/>
  <c r="B53" i="20" s="1"/>
  <c r="B54" i="20" s="1"/>
  <c r="B55" i="20" s="1"/>
  <c r="B56" i="20" s="1"/>
  <c r="B57" i="20" s="1"/>
  <c r="B58" i="20" s="1"/>
  <c r="B59" i="20" s="1"/>
  <c r="B60" i="20" s="1"/>
  <c r="B61" i="20" s="1"/>
  <c r="B62" i="20" s="1"/>
  <c r="B63" i="20" s="1"/>
  <c r="B64" i="20" s="1"/>
  <c r="B65" i="20" s="1"/>
  <c r="B66" i="20" s="1"/>
  <c r="B67" i="20" s="1"/>
  <c r="B68" i="20" s="1"/>
  <c r="B69" i="20" s="1"/>
  <c r="B70" i="20" s="1"/>
  <c r="B71" i="20" s="1"/>
  <c r="B9" i="18"/>
  <c r="B12" i="18"/>
  <c r="B33" i="19" l="1"/>
  <c r="B30" i="19"/>
  <c r="B34" i="19"/>
  <c r="B35" i="19" s="1"/>
  <c r="B51" i="1"/>
  <c r="B53" i="1" s="1"/>
</calcChain>
</file>

<file path=xl/sharedStrings.xml><?xml version="1.0" encoding="utf-8"?>
<sst xmlns="http://schemas.openxmlformats.org/spreadsheetml/2006/main" count="846" uniqueCount="486">
  <si>
    <t>Neill Incised</t>
  </si>
  <si>
    <t>Value</t>
  </si>
  <si>
    <t>Description</t>
  </si>
  <si>
    <r>
      <t>y</t>
    </r>
    <r>
      <rPr>
        <vertAlign val="subscript"/>
        <sz val="10"/>
        <rFont val="Arial"/>
        <family val="2"/>
      </rPr>
      <t>i</t>
    </r>
  </si>
  <si>
    <t>m</t>
  </si>
  <si>
    <r>
      <t>q</t>
    </r>
    <r>
      <rPr>
        <vertAlign val="subscript"/>
        <sz val="10"/>
        <rFont val="Arial"/>
        <family val="2"/>
      </rPr>
      <t>i</t>
    </r>
  </si>
  <si>
    <r>
      <t>q</t>
    </r>
    <r>
      <rPr>
        <vertAlign val="subscript"/>
        <sz val="10"/>
        <rFont val="Arial"/>
        <family val="2"/>
      </rPr>
      <t>f</t>
    </r>
  </si>
  <si>
    <t>Blench</t>
  </si>
  <si>
    <r>
      <t>y</t>
    </r>
    <r>
      <rPr>
        <vertAlign val="subscript"/>
        <sz val="10"/>
        <rFont val="Arial"/>
        <family val="2"/>
      </rPr>
      <t>f0</t>
    </r>
  </si>
  <si>
    <r>
      <t>F</t>
    </r>
    <r>
      <rPr>
        <vertAlign val="subscript"/>
        <sz val="10"/>
        <rFont val="Arial"/>
        <family val="2"/>
      </rPr>
      <t>b0</t>
    </r>
  </si>
  <si>
    <t>Lacey</t>
  </si>
  <si>
    <r>
      <t>y</t>
    </r>
    <r>
      <rPr>
        <vertAlign val="subscript"/>
        <sz val="10"/>
        <rFont val="Arial"/>
        <family val="2"/>
      </rPr>
      <t>m</t>
    </r>
  </si>
  <si>
    <t>Q</t>
  </si>
  <si>
    <r>
      <t>design discharge, (ft</t>
    </r>
    <r>
      <rPr>
        <vertAlign val="superscript"/>
        <sz val="10"/>
        <rFont val="Arial"/>
        <family val="2"/>
      </rPr>
      <t>3</t>
    </r>
    <r>
      <rPr>
        <sz val="10"/>
        <rFont val="Arial"/>
        <family val="2"/>
      </rPr>
      <t>/s)</t>
    </r>
  </si>
  <si>
    <t>f</t>
  </si>
  <si>
    <r>
      <t>Lacey's silt factor = 1.76 (D</t>
    </r>
    <r>
      <rPr>
        <vertAlign val="subscript"/>
        <sz val="10"/>
        <rFont val="Arial"/>
        <family val="2"/>
      </rPr>
      <t>m</t>
    </r>
    <r>
      <rPr>
        <sz val="10"/>
        <rFont val="Arial"/>
        <family val="2"/>
      </rPr>
      <t>)</t>
    </r>
    <r>
      <rPr>
        <vertAlign val="superscript"/>
        <sz val="10"/>
        <rFont val="Arial"/>
        <family val="2"/>
      </rPr>
      <t>1/2</t>
    </r>
  </si>
  <si>
    <t>Condition</t>
  </si>
  <si>
    <t>Neill</t>
  </si>
  <si>
    <t>Zeller General Scour</t>
  </si>
  <si>
    <r>
      <t>y</t>
    </r>
    <r>
      <rPr>
        <vertAlign val="subscript"/>
        <sz val="10"/>
        <rFont val="Arial"/>
        <family val="2"/>
      </rPr>
      <t>max</t>
    </r>
  </si>
  <si>
    <r>
      <t>V</t>
    </r>
    <r>
      <rPr>
        <vertAlign val="subscript"/>
        <sz val="10"/>
        <rFont val="Arial"/>
        <family val="2"/>
      </rPr>
      <t>m</t>
    </r>
  </si>
  <si>
    <r>
      <t>Y</t>
    </r>
    <r>
      <rPr>
        <vertAlign val="subscript"/>
        <sz val="10"/>
        <rFont val="Arial"/>
        <family val="2"/>
      </rPr>
      <t>h</t>
    </r>
  </si>
  <si>
    <r>
      <t>S</t>
    </r>
    <r>
      <rPr>
        <vertAlign val="subscript"/>
        <sz val="10"/>
        <rFont val="Arial"/>
        <family val="2"/>
      </rPr>
      <t>e</t>
    </r>
  </si>
  <si>
    <r>
      <t>d</t>
    </r>
    <r>
      <rPr>
        <vertAlign val="subscript"/>
        <sz val="10"/>
        <rFont val="Arial"/>
        <family val="2"/>
      </rPr>
      <t>s</t>
    </r>
    <r>
      <rPr>
        <sz val="10"/>
        <rFont val="Arial"/>
        <family val="2"/>
      </rPr>
      <t xml:space="preserve"> = Z d</t>
    </r>
    <r>
      <rPr>
        <vertAlign val="subscript"/>
        <sz val="10"/>
        <rFont val="Arial"/>
        <family val="2"/>
      </rPr>
      <t>f0</t>
    </r>
  </si>
  <si>
    <r>
      <t>d</t>
    </r>
    <r>
      <rPr>
        <vertAlign val="subscript"/>
        <sz val="10"/>
        <rFont val="Arial"/>
        <family val="2"/>
      </rPr>
      <t>s</t>
    </r>
    <r>
      <rPr>
        <sz val="10"/>
        <rFont val="Arial"/>
        <family val="2"/>
      </rPr>
      <t xml:space="preserve"> = Z d</t>
    </r>
    <r>
      <rPr>
        <vertAlign val="subscript"/>
        <sz val="10"/>
        <rFont val="Arial"/>
        <family val="2"/>
      </rPr>
      <t>m</t>
    </r>
  </si>
  <si>
    <r>
      <t>d</t>
    </r>
    <r>
      <rPr>
        <vertAlign val="subscript"/>
        <sz val="10"/>
        <rFont val="Arial"/>
        <family val="2"/>
      </rPr>
      <t>s</t>
    </r>
    <r>
      <rPr>
        <sz val="10"/>
        <rFont val="Arial"/>
        <family val="2"/>
      </rPr>
      <t xml:space="preserve"> = Z d</t>
    </r>
    <r>
      <rPr>
        <vertAlign val="subscript"/>
        <sz val="10"/>
        <rFont val="Arial"/>
        <family val="2"/>
      </rPr>
      <t>f</t>
    </r>
  </si>
  <si>
    <t>Equation Types A and B</t>
  </si>
  <si>
    <t>Straight Reach</t>
  </si>
  <si>
    <t>Moderate Bend</t>
  </si>
  <si>
    <t>Severe Bend</t>
  </si>
  <si>
    <t>Right angle bends</t>
  </si>
  <si>
    <t>Vertical rock bank or wall</t>
  </si>
  <si>
    <t>cfs</t>
  </si>
  <si>
    <t>feet</t>
  </si>
  <si>
    <t>Energy Slope</t>
  </si>
  <si>
    <t>q</t>
  </si>
  <si>
    <t>straight</t>
  </si>
  <si>
    <t>moderate</t>
  </si>
  <si>
    <t>severe</t>
  </si>
  <si>
    <t>right angle</t>
  </si>
  <si>
    <t>vertical</t>
  </si>
  <si>
    <t>Description for lookup</t>
  </si>
  <si>
    <t>Maximum Depth</t>
  </si>
  <si>
    <r>
      <t>y</t>
    </r>
    <r>
      <rPr>
        <vertAlign val="subscript"/>
        <sz val="10"/>
        <rFont val="Arial"/>
        <family val="2"/>
      </rPr>
      <t>gs, calculated</t>
    </r>
  </si>
  <si>
    <t>Regime</t>
  </si>
  <si>
    <t>dune</t>
  </si>
  <si>
    <r>
      <t>y</t>
    </r>
    <r>
      <rPr>
        <b/>
        <vertAlign val="subscript"/>
        <sz val="10"/>
        <rFont val="Arial"/>
        <family val="2"/>
      </rPr>
      <t xml:space="preserve">gs, </t>
    </r>
    <r>
      <rPr>
        <b/>
        <sz val="10"/>
        <rFont val="Arial"/>
        <family val="2"/>
      </rPr>
      <t>(minimum 0)</t>
    </r>
  </si>
  <si>
    <t>yes</t>
  </si>
  <si>
    <t>Use Laceys Regime Equation For Mean Water Depth?</t>
  </si>
  <si>
    <t>Yes / No List</t>
  </si>
  <si>
    <t>no</t>
  </si>
  <si>
    <t>Bankfull Width</t>
  </si>
  <si>
    <t>exponent varying from 0.67 for sand to 0.85 for coarse gravel</t>
  </si>
  <si>
    <t>mean grain size of bed material (mm)</t>
  </si>
  <si>
    <r>
      <t>D</t>
    </r>
    <r>
      <rPr>
        <vertAlign val="subscript"/>
        <sz val="10"/>
        <rFont val="Arial"/>
        <family val="2"/>
      </rPr>
      <t>50</t>
    </r>
  </si>
  <si>
    <r>
      <t>y</t>
    </r>
    <r>
      <rPr>
        <vertAlign val="subscript"/>
        <sz val="10"/>
        <rFont val="Arial"/>
        <family val="2"/>
      </rPr>
      <t>f</t>
    </r>
  </si>
  <si>
    <t>Dune scour fraction</t>
  </si>
  <si>
    <t>Degree of bend</t>
  </si>
  <si>
    <t>antidune</t>
  </si>
  <si>
    <t>Z</t>
  </si>
  <si>
    <t>Neill Incised Z</t>
  </si>
  <si>
    <t>Lacey Z</t>
  </si>
  <si>
    <t>Blench Z</t>
  </si>
  <si>
    <t>N/A</t>
  </si>
  <si>
    <t>mean depth, (ft)</t>
  </si>
  <si>
    <t>mean velocity, (ft/s)</t>
  </si>
  <si>
    <r>
      <t>V</t>
    </r>
    <r>
      <rPr>
        <vertAlign val="subscript"/>
        <sz val="10"/>
        <rFont val="Arial"/>
        <family val="2"/>
      </rPr>
      <t>c</t>
    </r>
  </si>
  <si>
    <r>
      <t>=y</t>
    </r>
    <r>
      <rPr>
        <vertAlign val="subscript"/>
        <sz val="10"/>
        <rFont val="Arial"/>
        <family val="2"/>
      </rPr>
      <t>m</t>
    </r>
    <r>
      <rPr>
        <sz val="10"/>
        <rFont val="Arial"/>
        <family val="2"/>
      </rPr>
      <t xml:space="preserve"> (V</t>
    </r>
    <r>
      <rPr>
        <vertAlign val="subscript"/>
        <sz val="10"/>
        <rFont val="Arial"/>
        <family val="2"/>
      </rPr>
      <t>m</t>
    </r>
    <r>
      <rPr>
        <sz val="10"/>
        <rFont val="Arial"/>
        <family val="2"/>
      </rPr>
      <t xml:space="preserve"> / V</t>
    </r>
    <r>
      <rPr>
        <vertAlign val="subscript"/>
        <sz val="10"/>
        <rFont val="Arial"/>
        <family val="2"/>
      </rPr>
      <t>c</t>
    </r>
    <r>
      <rPr>
        <sz val="10"/>
        <rFont val="Arial"/>
        <family val="2"/>
      </rPr>
      <t xml:space="preserve"> - 1)
scour depth below streambed, (ft)</t>
    </r>
  </si>
  <si>
    <t>Neill Competent Velocity</t>
  </si>
  <si>
    <t>Comment</t>
  </si>
  <si>
    <t>Parameter</t>
  </si>
  <si>
    <t>Bend Radius R in feet, at design Q</t>
  </si>
  <si>
    <t>Average Velocity</t>
  </si>
  <si>
    <t>d50mm</t>
  </si>
  <si>
    <r>
      <t>log</t>
    </r>
    <r>
      <rPr>
        <vertAlign val="subscript"/>
        <sz val="10"/>
        <rFont val="Arial"/>
        <family val="2"/>
      </rPr>
      <t>10</t>
    </r>
    <r>
      <rPr>
        <sz val="10"/>
        <rFont val="Arial"/>
        <family val="2"/>
      </rPr>
      <t>d50</t>
    </r>
  </si>
  <si>
    <t>Id</t>
  </si>
  <si>
    <t>PaperX</t>
  </si>
  <si>
    <t>PaperY</t>
  </si>
  <si>
    <t>D50mm</t>
  </si>
  <si>
    <t>D50Feet</t>
  </si>
  <si>
    <t>CompMeanVel FPS</t>
  </si>
  <si>
    <t>log10D50</t>
  </si>
  <si>
    <t>log10CMV</t>
  </si>
  <si>
    <t>log10DepthFt</t>
  </si>
  <si>
    <t>Depth</t>
  </si>
  <si>
    <t>log10D50mm</t>
  </si>
  <si>
    <t>C.M.V</t>
  </si>
  <si>
    <t>log10CMV (using D50)</t>
  </si>
  <si>
    <t>Unit discharge, cfs per foot width</t>
  </si>
  <si>
    <t>ds</t>
  </si>
  <si>
    <t>Within valid slope range</t>
  </si>
  <si>
    <t>Blench Zero Bed Factor</t>
  </si>
  <si>
    <t>USBR Mean Velocity Method</t>
  </si>
  <si>
    <r>
      <t>d</t>
    </r>
    <r>
      <rPr>
        <vertAlign val="subscript"/>
        <sz val="10"/>
        <rFont val="Arial"/>
        <family val="2"/>
      </rPr>
      <t>m</t>
    </r>
  </si>
  <si>
    <t>BEND SCOUR</t>
  </si>
  <si>
    <t>V</t>
  </si>
  <si>
    <t>W</t>
  </si>
  <si>
    <t>X</t>
  </si>
  <si>
    <t>Upstream energy slope</t>
  </si>
  <si>
    <t>Manning n-value</t>
  </si>
  <si>
    <t>Chezy coefficient</t>
  </si>
  <si>
    <t>Superelevation</t>
  </si>
  <si>
    <t>y</t>
  </si>
  <si>
    <r>
      <t>y</t>
    </r>
    <r>
      <rPr>
        <vertAlign val="subscript"/>
        <sz val="10"/>
        <rFont val="Arial"/>
        <family val="2"/>
      </rPr>
      <t>h</t>
    </r>
  </si>
  <si>
    <r>
      <t>r</t>
    </r>
    <r>
      <rPr>
        <vertAlign val="subscript"/>
        <sz val="10"/>
        <rFont val="Arial"/>
        <family val="2"/>
      </rPr>
      <t>c</t>
    </r>
  </si>
  <si>
    <t>Used in Zeller Bend Scour Equation</t>
  </si>
  <si>
    <t>Hydraulic Radius</t>
  </si>
  <si>
    <t>Average / Hydraulic / Mean Depth</t>
  </si>
  <si>
    <t>dimensionless</t>
  </si>
  <si>
    <t>feet per second</t>
  </si>
  <si>
    <t>fps.  Mean velocity of upstream flow</t>
  </si>
  <si>
    <t>feet. Maximum Depth of upstream flow</t>
  </si>
  <si>
    <t>feet.  Hydraulic Depth of upstream flow</t>
  </si>
  <si>
    <t>feet.  Channel topwidth of upstream flow</t>
  </si>
  <si>
    <r>
      <t>feet.  = V</t>
    </r>
    <r>
      <rPr>
        <vertAlign val="subscript"/>
        <sz val="10"/>
        <rFont val="Arial"/>
        <family val="2"/>
      </rPr>
      <t>z</t>
    </r>
    <r>
      <rPr>
        <vertAlign val="superscript"/>
        <sz val="10"/>
        <rFont val="Arial"/>
        <family val="2"/>
      </rPr>
      <t>2</t>
    </r>
    <r>
      <rPr>
        <sz val="10"/>
        <rFont val="Arial"/>
        <family val="2"/>
      </rPr>
      <t xml:space="preserve"> b  / (g r</t>
    </r>
    <r>
      <rPr>
        <vertAlign val="subscript"/>
        <sz val="10"/>
        <rFont val="Arial"/>
        <family val="2"/>
      </rPr>
      <t>c</t>
    </r>
    <r>
      <rPr>
        <sz val="10"/>
        <rFont val="Arial"/>
        <family val="2"/>
      </rPr>
      <t>) (Equation 16-11, Chow) (based on top width, velocity, and radius of curvature, where b=W=topwidth)</t>
    </r>
  </si>
  <si>
    <t>feet.  Max depth of flow including superelevation on outside of bend</t>
  </si>
  <si>
    <t>Neill Incised exponent</t>
  </si>
  <si>
    <r>
      <t>feet.  Water depth for zero bed sediment transport
= q</t>
    </r>
    <r>
      <rPr>
        <vertAlign val="subscript"/>
        <sz val="10"/>
        <rFont val="Arial"/>
        <family val="2"/>
      </rPr>
      <t>f</t>
    </r>
    <r>
      <rPr>
        <vertAlign val="superscript"/>
        <sz val="10"/>
        <rFont val="Arial"/>
        <family val="2"/>
      </rPr>
      <t>2/3</t>
    </r>
    <r>
      <rPr>
        <sz val="10"/>
        <rFont val="Arial"/>
        <family val="2"/>
      </rPr>
      <t xml:space="preserve"> / F</t>
    </r>
    <r>
      <rPr>
        <vertAlign val="subscript"/>
        <sz val="10"/>
        <rFont val="Arial"/>
        <family val="2"/>
      </rPr>
      <t>b0</t>
    </r>
    <r>
      <rPr>
        <vertAlign val="superscript"/>
        <sz val="10"/>
        <rFont val="Arial"/>
        <family val="2"/>
      </rPr>
      <t>1/3</t>
    </r>
  </si>
  <si>
    <t>feet.  average depth at bankfull discharge in incised reach</t>
  </si>
  <si>
    <r>
      <t xml:space="preserve">feet.  Scoured depth (general scour) </t>
    </r>
    <r>
      <rPr>
        <u/>
        <sz val="10"/>
        <rFont val="Arial"/>
        <family val="2"/>
      </rPr>
      <t>below design floodwater level</t>
    </r>
  </si>
  <si>
    <t>Lookup Table</t>
  </si>
  <si>
    <t>(after Pemberton and Lara, 1984, Table 7)</t>
  </si>
  <si>
    <t>Design Discharge, Q</t>
  </si>
  <si>
    <t>Design Top Width, T</t>
  </si>
  <si>
    <t>Low-flow incisement / thalweg scour</t>
  </si>
  <si>
    <r>
      <t>y</t>
    </r>
    <r>
      <rPr>
        <vertAlign val="subscript"/>
        <sz val="10"/>
        <rFont val="Arial"/>
        <family val="2"/>
      </rPr>
      <t>mxb</t>
    </r>
  </si>
  <si>
    <r>
      <t>y</t>
    </r>
    <r>
      <rPr>
        <vertAlign val="subscript"/>
        <sz val="10"/>
        <rFont val="Arial"/>
        <family val="2"/>
      </rPr>
      <t>u</t>
    </r>
  </si>
  <si>
    <r>
      <t>W</t>
    </r>
    <r>
      <rPr>
        <vertAlign val="subscript"/>
        <sz val="10"/>
        <rFont val="Arial"/>
        <family val="2"/>
      </rPr>
      <t>u</t>
    </r>
  </si>
  <si>
    <t>Less than 5 is severe, 5 to 10 moderate, greater than 10 straight</t>
  </si>
  <si>
    <t>Multiplying Factors, Z, for use in scour depths by regime equations</t>
  </si>
  <si>
    <t>plane</t>
  </si>
  <si>
    <t>Regime list</t>
  </si>
  <si>
    <t>Enter dune, antidune or plane</t>
  </si>
  <si>
    <t>feet.  Maximum depth of flow</t>
  </si>
  <si>
    <t>ft/s.  Average velocity of flow</t>
  </si>
  <si>
    <t>feet.  Hydraulic or mean depth of flow</t>
  </si>
  <si>
    <t>Energy slope (or bed slope or uniform slope)</t>
  </si>
  <si>
    <t>cfs/ft.  Design discharge per unit width.</t>
  </si>
  <si>
    <r>
      <t xml:space="preserve"> ft</t>
    </r>
    <r>
      <rPr>
        <vertAlign val="superscript"/>
        <sz val="10"/>
        <rFont val="Arial"/>
        <family val="2"/>
      </rPr>
      <t>2/</t>
    </r>
    <r>
      <rPr>
        <sz val="10"/>
        <rFont val="Arial"/>
        <family val="2"/>
      </rPr>
      <t>s.  Blench's "zero bed factor," (interpolated)</t>
    </r>
  </si>
  <si>
    <t>ft/sec.  Competent mean velocity (interpolated)</t>
  </si>
  <si>
    <t>feet.  Enter zero if no bend.</t>
  </si>
  <si>
    <t>feet.  Average water depth in crossing upstream of bend.</t>
  </si>
  <si>
    <t>feet.  Centerline radius of bend.</t>
  </si>
  <si>
    <t>Maynord Bend Scour</t>
  </si>
  <si>
    <r>
      <t>r</t>
    </r>
    <r>
      <rPr>
        <vertAlign val="subscript"/>
        <sz val="10"/>
        <rFont val="Arial"/>
        <family val="2"/>
      </rPr>
      <t>c</t>
    </r>
    <r>
      <rPr>
        <sz val="10"/>
        <rFont val="Arial"/>
        <family val="2"/>
      </rPr>
      <t xml:space="preserve"> / W</t>
    </r>
    <r>
      <rPr>
        <vertAlign val="subscript"/>
        <sz val="10"/>
        <rFont val="Arial"/>
        <family val="2"/>
      </rPr>
      <t>u</t>
    </r>
    <r>
      <rPr>
        <sz val="10"/>
        <rFont val="Arial"/>
        <family val="2"/>
      </rPr>
      <t xml:space="preserve"> within range</t>
    </r>
  </si>
  <si>
    <r>
      <t>W</t>
    </r>
    <r>
      <rPr>
        <vertAlign val="subscript"/>
        <sz val="10"/>
        <rFont val="Arial"/>
        <family val="2"/>
      </rPr>
      <t>u</t>
    </r>
    <r>
      <rPr>
        <sz val="10"/>
        <rFont val="Arial"/>
        <family val="2"/>
      </rPr>
      <t xml:space="preserve"> / y</t>
    </r>
    <r>
      <rPr>
        <vertAlign val="subscript"/>
        <sz val="10"/>
        <rFont val="Arial"/>
        <family val="2"/>
      </rPr>
      <t>u</t>
    </r>
    <r>
      <rPr>
        <sz val="10"/>
        <rFont val="Arial"/>
        <family val="2"/>
      </rPr>
      <t xml:space="preserve"> within range</t>
    </r>
  </si>
  <si>
    <t>feet.  Water surface width at upstream end of bend (active or bankfull width)</t>
  </si>
  <si>
    <t>Note: Not recommended where overbank depth exceeds 20% channel depth</t>
  </si>
  <si>
    <r>
      <t>y</t>
    </r>
    <r>
      <rPr>
        <b/>
        <vertAlign val="subscript"/>
        <sz val="10"/>
        <rFont val="Arial"/>
        <family val="2"/>
      </rPr>
      <t>s</t>
    </r>
  </si>
  <si>
    <t>Bed Form Scour</t>
  </si>
  <si>
    <t>Bed form regime</t>
  </si>
  <si>
    <t>Velocity</t>
  </si>
  <si>
    <r>
      <t>nominal r</t>
    </r>
    <r>
      <rPr>
        <vertAlign val="subscript"/>
        <sz val="10"/>
        <rFont val="Arial"/>
        <family val="2"/>
      </rPr>
      <t>c</t>
    </r>
    <r>
      <rPr>
        <sz val="10"/>
        <rFont val="Arial"/>
        <family val="2"/>
      </rPr>
      <t xml:space="preserve"> / W</t>
    </r>
    <r>
      <rPr>
        <vertAlign val="subscript"/>
        <sz val="10"/>
        <rFont val="Arial"/>
        <family val="2"/>
      </rPr>
      <t>u</t>
    </r>
  </si>
  <si>
    <r>
      <t>nominal W</t>
    </r>
    <r>
      <rPr>
        <vertAlign val="subscript"/>
        <sz val="10"/>
        <rFont val="Arial"/>
        <family val="2"/>
      </rPr>
      <t>u</t>
    </r>
    <r>
      <rPr>
        <sz val="10"/>
        <rFont val="Arial"/>
        <family val="2"/>
      </rPr>
      <t xml:space="preserve"> / y</t>
    </r>
    <r>
      <rPr>
        <vertAlign val="subscript"/>
        <sz val="10"/>
        <rFont val="Arial"/>
        <family val="2"/>
      </rPr>
      <t>u</t>
    </r>
  </si>
  <si>
    <r>
      <t>r</t>
    </r>
    <r>
      <rPr>
        <vertAlign val="subscript"/>
        <sz val="10"/>
        <rFont val="Arial"/>
        <family val="2"/>
      </rPr>
      <t>c</t>
    </r>
    <r>
      <rPr>
        <sz val="10"/>
        <rFont val="Arial"/>
        <family val="2"/>
      </rPr>
      <t xml:space="preserve"> / W</t>
    </r>
    <r>
      <rPr>
        <vertAlign val="subscript"/>
        <sz val="10"/>
        <rFont val="Arial"/>
        <family val="2"/>
      </rPr>
      <t>u</t>
    </r>
    <r>
      <rPr>
        <sz val="10"/>
        <rFont val="Arial"/>
        <family val="2"/>
      </rPr>
      <t xml:space="preserve"> for equation</t>
    </r>
  </si>
  <si>
    <r>
      <t>nominal W</t>
    </r>
    <r>
      <rPr>
        <vertAlign val="subscript"/>
        <sz val="10"/>
        <rFont val="Arial"/>
        <family val="2"/>
      </rPr>
      <t>u</t>
    </r>
    <r>
      <rPr>
        <sz val="10"/>
        <rFont val="Arial"/>
        <family val="2"/>
      </rPr>
      <t xml:space="preserve"> / y</t>
    </r>
    <r>
      <rPr>
        <vertAlign val="subscript"/>
        <sz val="10"/>
        <rFont val="Arial"/>
        <family val="2"/>
      </rPr>
      <t>u</t>
    </r>
    <r>
      <rPr>
        <sz val="10"/>
        <rFont val="Arial"/>
        <family val="2"/>
      </rPr>
      <t xml:space="preserve"> for equation</t>
    </r>
  </si>
  <si>
    <t>GENERAL SCOUR</t>
  </si>
  <si>
    <t>BED FORM SCOUR</t>
  </si>
  <si>
    <t>feet.  Radius of curvature to centerline of channel</t>
  </si>
  <si>
    <t>x-axis of design curve</t>
  </si>
  <si>
    <t>y-axis of design curve, sand-bed channels</t>
  </si>
  <si>
    <t>y-axis of design curve, gravel-bed channels</t>
  </si>
  <si>
    <t>Bend Scour Depth, sand-bed channels</t>
  </si>
  <si>
    <t>Bend Scour Depth, gravel-bed channels</t>
  </si>
  <si>
    <r>
      <t>r</t>
    </r>
    <r>
      <rPr>
        <vertAlign val="subscript"/>
        <sz val="10"/>
        <rFont val="Arial"/>
        <family val="2"/>
      </rPr>
      <t>b</t>
    </r>
  </si>
  <si>
    <r>
      <t>r</t>
    </r>
    <r>
      <rPr>
        <vertAlign val="subscript"/>
        <sz val="10"/>
        <rFont val="Arial"/>
        <family val="2"/>
      </rPr>
      <t>b</t>
    </r>
    <r>
      <rPr>
        <sz val="10"/>
        <rFont val="Arial"/>
        <family val="2"/>
      </rPr>
      <t xml:space="preserve"> / W</t>
    </r>
  </si>
  <si>
    <t>USBR Envelope Curve</t>
  </si>
  <si>
    <t>Bend Scour Design Curves, Corps of Engineers</t>
  </si>
  <si>
    <r>
      <t>Fb</t>
    </r>
    <r>
      <rPr>
        <vertAlign val="subscript"/>
        <sz val="10"/>
        <rFont val="Arial"/>
        <family val="2"/>
      </rPr>
      <t>0</t>
    </r>
    <r>
      <rPr>
        <sz val="10"/>
        <rFont val="Arial"/>
        <family val="2"/>
      </rPr>
      <t>ft</t>
    </r>
    <r>
      <rPr>
        <vertAlign val="superscript"/>
        <sz val="10"/>
        <rFont val="Arial"/>
        <family val="2"/>
      </rPr>
      <t>2</t>
    </r>
    <r>
      <rPr>
        <sz val="10"/>
        <rFont val="Arial"/>
        <family val="2"/>
      </rPr>
      <t>persec</t>
    </r>
  </si>
  <si>
    <r>
      <t>log</t>
    </r>
    <r>
      <rPr>
        <vertAlign val="subscript"/>
        <sz val="10"/>
        <rFont val="Arial"/>
        <family val="2"/>
      </rPr>
      <t>10</t>
    </r>
    <r>
      <rPr>
        <sz val="10"/>
        <rFont val="Arial"/>
        <family val="2"/>
      </rPr>
      <t>Fb</t>
    </r>
    <r>
      <rPr>
        <vertAlign val="subscript"/>
        <sz val="10"/>
        <rFont val="Arial"/>
        <family val="2"/>
      </rPr>
      <t>0</t>
    </r>
  </si>
  <si>
    <t>feet per second.</t>
  </si>
  <si>
    <t>Dune scour fraction of ymax for dune regime</t>
  </si>
  <si>
    <t>Schoklitsh Method</t>
  </si>
  <si>
    <t>Meyer-Peter, Muller Method</t>
  </si>
  <si>
    <t>Lane's Tractive Force Method</t>
  </si>
  <si>
    <t>Shield's Diagram</t>
  </si>
  <si>
    <t>EQUILIBRIUM SLOPE</t>
  </si>
  <si>
    <t>D</t>
  </si>
  <si>
    <t>Critical Trac Frc g per sq meter</t>
  </si>
  <si>
    <t>Critical Trac Force psf</t>
  </si>
  <si>
    <t>Tractive Force vs. transportable sediment size (after Lane, 1952, from Figure 4 in Pemberton and Lara, 1984)</t>
  </si>
  <si>
    <t>mm.</t>
  </si>
  <si>
    <t>Log10 Critical Tractive Force psf</t>
  </si>
  <si>
    <t>Log10 D50mm</t>
  </si>
  <si>
    <t>Mean Diameter</t>
  </si>
  <si>
    <t>Tauc, Critical Tractive Force</t>
  </si>
  <si>
    <t>Equilibrium Slope</t>
  </si>
  <si>
    <r>
      <t>D</t>
    </r>
    <r>
      <rPr>
        <vertAlign val="subscript"/>
        <sz val="10"/>
        <rFont val="Arial"/>
        <family val="2"/>
      </rPr>
      <t>90</t>
    </r>
  </si>
  <si>
    <t>mm.  Median grain size</t>
  </si>
  <si>
    <t>degree of curvature</t>
  </si>
  <si>
    <t>cfs/foot.  = Q/T</t>
  </si>
  <si>
    <r>
      <t>K</t>
    </r>
    <r>
      <rPr>
        <vertAlign val="subscript"/>
        <sz val="10"/>
        <rFont val="Arial"/>
        <family val="2"/>
      </rPr>
      <t>mpm</t>
    </r>
  </si>
  <si>
    <r>
      <t>n</t>
    </r>
    <r>
      <rPr>
        <vertAlign val="subscript"/>
        <sz val="10"/>
        <rFont val="Arial"/>
        <family val="2"/>
      </rPr>
      <t>s</t>
    </r>
  </si>
  <si>
    <t>mm.  90% finer than particle size.</t>
  </si>
  <si>
    <t>Manning n for the stream.</t>
  </si>
  <si>
    <t>inch pounds.  Meyer-Peter, Muller constant.</t>
  </si>
  <si>
    <t>d</t>
  </si>
  <si>
    <r>
      <t>S</t>
    </r>
    <r>
      <rPr>
        <vertAlign val="subscript"/>
        <sz val="10"/>
        <rFont val="Arial"/>
        <family val="2"/>
      </rPr>
      <t>L</t>
    </r>
  </si>
  <si>
    <t>Log10 R star</t>
  </si>
  <si>
    <t>Log10 T star</t>
  </si>
  <si>
    <t>R Star</t>
  </si>
  <si>
    <t>T Star</t>
  </si>
  <si>
    <t>Paper Coordinates obtained from Scan of Figure 5 in Pemberton and Lara, 1984, rectified at the (0.001, 0.01) and (100000, 0.1) points</t>
  </si>
  <si>
    <t>Such that log10 x = (Xpaper - 10000) / 10000</t>
  </si>
  <si>
    <t>and log10 y = (Ypaper - 10000)/10000 - 3</t>
  </si>
  <si>
    <t>Where y equals Tstart = Tc / [(Gamma s - Gamma w) D]</t>
  </si>
  <si>
    <t>and x = R star = U star * D / nu</t>
  </si>
  <si>
    <t>The scan of the graph shown below:</t>
  </si>
  <si>
    <t>The curve "recommended values for canals with clear water" was used.</t>
  </si>
  <si>
    <t>Initial Estimate of Slope</t>
  </si>
  <si>
    <t>Hydraulic Radius R</t>
  </si>
  <si>
    <r>
      <t>feet.  D</t>
    </r>
    <r>
      <rPr>
        <vertAlign val="subscript"/>
        <sz val="10"/>
        <rFont val="Arial"/>
        <family val="2"/>
      </rPr>
      <t>50</t>
    </r>
    <r>
      <rPr>
        <sz val="10"/>
        <rFont val="Arial"/>
        <family val="2"/>
      </rPr>
      <t xml:space="preserve"> in feet</t>
    </r>
  </si>
  <si>
    <t>Temperature F</t>
  </si>
  <si>
    <r>
      <t>mu, absolute viscosity lbf-sec/ft</t>
    </r>
    <r>
      <rPr>
        <vertAlign val="superscript"/>
        <sz val="10"/>
        <rFont val="Arial"/>
        <family val="2"/>
      </rPr>
      <t>2</t>
    </r>
  </si>
  <si>
    <r>
      <t>nu, kinematic visocity ft</t>
    </r>
    <r>
      <rPr>
        <vertAlign val="superscript"/>
        <sz val="10"/>
        <rFont val="Arial"/>
        <family val="2"/>
      </rPr>
      <t>2</t>
    </r>
    <r>
      <rPr>
        <sz val="10"/>
        <rFont val="Arial"/>
        <family val="2"/>
      </rPr>
      <t xml:space="preserve"> / sec</t>
    </r>
  </si>
  <si>
    <t>Values taken from Appendix 14.A, Lindeburg (Civil Engineering Reference Manual, 8th edition)</t>
  </si>
  <si>
    <t>Water Temperature</t>
  </si>
  <si>
    <t>Larger</t>
  </si>
  <si>
    <t>Looked up from Shields Diagram</t>
  </si>
  <si>
    <t>Intermediate, used for lookup</t>
  </si>
  <si>
    <t>Slope</t>
  </si>
  <si>
    <t>Final Iteration</t>
  </si>
  <si>
    <t>feet.</t>
  </si>
  <si>
    <t>degrees F.  To determine kinematic viscosity for Shield's diagram</t>
  </si>
  <si>
    <r>
      <t>K</t>
    </r>
    <r>
      <rPr>
        <vertAlign val="subscript"/>
        <sz val="10"/>
        <rFont val="Arial"/>
        <family val="2"/>
      </rPr>
      <t>s</t>
    </r>
  </si>
  <si>
    <t>Constant</t>
  </si>
  <si>
    <r>
      <t>W</t>
    </r>
    <r>
      <rPr>
        <vertAlign val="subscript"/>
        <sz val="10"/>
        <rFont val="Arial"/>
        <family val="2"/>
      </rPr>
      <t>bf</t>
    </r>
  </si>
  <si>
    <t>feet.  Bankfull width associated with channel-forming discharge.</t>
  </si>
  <si>
    <t>Bankfull or Channel-Forming Discharge</t>
  </si>
  <si>
    <t>cfs.  Dominant discharge.</t>
  </si>
  <si>
    <t>mm.  Mean sediment bed diameter.</t>
  </si>
  <si>
    <t>feet.  Water surface width</t>
  </si>
  <si>
    <t>feet.  Centerline radius of bend</t>
  </si>
  <si>
    <t>Reference: Pemberton &amp; Lara, 1984</t>
  </si>
  <si>
    <t>Zeller Bend Scour</t>
  </si>
  <si>
    <t>Reference: Neill, 1973</t>
  </si>
  <si>
    <t>Neill, C.R., 1973.  "Guide to Bridge Hydraulics," published for Road and Transportation Association of Canada (as referenced in ASCE Prediction Bed Scour Course Notes, 2005)</t>
  </si>
  <si>
    <t>American Society of Civil Engineers [ASCE], (2005), "Predicting Bed Scour For Toe Protection Design for Bank Stabilization Projects" course notes.</t>
  </si>
  <si>
    <t>Simons Li &amp; Associates (1985).  "Design Manual For Engineering Analysis of Fluvial Systems."  Prepared for Arizona Department of Water Resources.</t>
  </si>
  <si>
    <t>Pemberton E.L &amp; Lara, J.M. (1984).  "Computing Degradation and Local Scour."  Technical Guideline for Bureau of Reclamation, U.S. Department of Interior, Bureau of Reclamation, Denver, CO.</t>
  </si>
  <si>
    <t>Chow, Ven Te. Open-Channel Hydraulics</t>
  </si>
  <si>
    <t>Lindeburg, Michael R., Civil Engineering Reference Manual, 8th Edition (2001)</t>
  </si>
  <si>
    <t>U.S. Army Corps of Engineers, Channel Stability Assessment for Flood Control Projects (1994a).  Publication 1110-2-1418.</t>
  </si>
  <si>
    <t>U.S. Army Corps of Engineers (1994b).  Hydraulic Design of Flood Control Channel.  Publication 1110-2-1601.</t>
  </si>
  <si>
    <t>R</t>
  </si>
  <si>
    <t>Energy slope</t>
  </si>
  <si>
    <r>
      <t>ft</t>
    </r>
    <r>
      <rPr>
        <vertAlign val="superscript"/>
        <sz val="10"/>
        <rFont val="Arial"/>
        <family val="2"/>
      </rPr>
      <t>2</t>
    </r>
    <r>
      <rPr>
        <sz val="10"/>
        <rFont val="Arial"/>
        <family val="2"/>
      </rPr>
      <t xml:space="preserve"> / sec.  Kinematic viscosity of water.  Looked up based on water temperature.</t>
    </r>
  </si>
  <si>
    <t>For lookup</t>
  </si>
  <si>
    <r>
      <t>feet.  Initial Estimate of Dcritical = D</t>
    </r>
    <r>
      <rPr>
        <vertAlign val="subscript"/>
        <sz val="10"/>
        <rFont val="Arial"/>
        <family val="2"/>
      </rPr>
      <t>50</t>
    </r>
  </si>
  <si>
    <t>First estimate of Taustar.  Looked up from Shields Table</t>
  </si>
  <si>
    <r>
      <t>feet per second.  Shear Velocity = (S R g)</t>
    </r>
    <r>
      <rPr>
        <vertAlign val="superscript"/>
        <sz val="10"/>
        <rFont val="Arial"/>
        <family val="2"/>
      </rPr>
      <t>1/2</t>
    </r>
    <r>
      <rPr>
        <sz val="10"/>
        <rFont val="Arial"/>
        <family val="2"/>
      </rPr>
      <t>.</t>
    </r>
  </si>
  <si>
    <r>
      <t>lb / ft</t>
    </r>
    <r>
      <rPr>
        <vertAlign val="superscript"/>
        <sz val="10"/>
        <rFont val="Arial"/>
        <family val="2"/>
      </rPr>
      <t>3</t>
    </r>
    <r>
      <rPr>
        <sz val="10"/>
        <rFont val="Arial"/>
        <family val="2"/>
      </rPr>
      <t>.  Density of water.</t>
    </r>
  </si>
  <si>
    <r>
      <t>(ft</t>
    </r>
    <r>
      <rPr>
        <vertAlign val="superscript"/>
        <sz val="10"/>
        <rFont val="Arial"/>
        <family val="2"/>
      </rPr>
      <t>3</t>
    </r>
    <r>
      <rPr>
        <sz val="10"/>
        <rFont val="Arial"/>
        <family val="2"/>
      </rPr>
      <t xml:space="preserve">/s/ft).  Bankfull discharge in incised reach per unit width </t>
    </r>
  </si>
  <si>
    <t>Thorne Bend Scour</t>
  </si>
  <si>
    <t>Reference: Maynord, 1996 via ASCE, 2005</t>
  </si>
  <si>
    <t>feet.  Water surface width at upstream end of bend.</t>
  </si>
  <si>
    <r>
      <t>y</t>
    </r>
    <r>
      <rPr>
        <vertAlign val="subscript"/>
        <sz val="10"/>
        <rFont val="Arial"/>
        <family val="2"/>
      </rPr>
      <t>bs</t>
    </r>
    <r>
      <rPr>
        <sz val="10"/>
        <rFont val="Arial"/>
        <family val="2"/>
      </rPr>
      <t xml:space="preserve"> (below thalweg)</t>
    </r>
  </si>
  <si>
    <r>
      <t>y</t>
    </r>
    <r>
      <rPr>
        <vertAlign val="subscript"/>
        <sz val="10"/>
        <rFont val="Arial"/>
        <family val="2"/>
      </rPr>
      <t>max</t>
    </r>
    <r>
      <rPr>
        <sz val="10"/>
        <rFont val="Arial"/>
        <family val="2"/>
      </rPr>
      <t xml:space="preserve"> / y</t>
    </r>
    <r>
      <rPr>
        <vertAlign val="subscript"/>
        <sz val="10"/>
        <rFont val="Arial"/>
        <family val="2"/>
      </rPr>
      <t>u</t>
    </r>
  </si>
  <si>
    <r>
      <t>r</t>
    </r>
    <r>
      <rPr>
        <vertAlign val="subscript"/>
        <sz val="10"/>
        <rFont val="Arial"/>
        <family val="2"/>
      </rPr>
      <t>c</t>
    </r>
    <r>
      <rPr>
        <sz val="10"/>
        <rFont val="Arial"/>
        <family val="2"/>
      </rPr>
      <t xml:space="preserve"> / W</t>
    </r>
    <r>
      <rPr>
        <vertAlign val="subscript"/>
        <sz val="10"/>
        <rFont val="Arial"/>
        <family val="2"/>
      </rPr>
      <t>u</t>
    </r>
  </si>
  <si>
    <r>
      <t>feet. = y</t>
    </r>
    <r>
      <rPr>
        <vertAlign val="subscript"/>
        <sz val="10"/>
        <rFont val="Arial"/>
        <family val="2"/>
      </rPr>
      <t>max</t>
    </r>
    <r>
      <rPr>
        <sz val="10"/>
        <rFont val="Arial"/>
        <family val="2"/>
      </rPr>
      <t xml:space="preserve"> - y</t>
    </r>
    <r>
      <rPr>
        <vertAlign val="subscript"/>
        <sz val="10"/>
        <rFont val="Arial"/>
        <family val="2"/>
      </rPr>
      <t>u</t>
    </r>
    <r>
      <rPr>
        <sz val="10"/>
        <rFont val="Arial"/>
        <family val="2"/>
      </rPr>
      <t>.  Scour below thalweg</t>
    </r>
  </si>
  <si>
    <r>
      <t>=2.07-0.19*log</t>
    </r>
    <r>
      <rPr>
        <vertAlign val="subscript"/>
        <sz val="10"/>
        <rFont val="Arial"/>
        <family val="2"/>
      </rPr>
      <t>10</t>
    </r>
    <r>
      <rPr>
        <sz val="10"/>
        <rFont val="Arial"/>
        <family val="2"/>
      </rPr>
      <t>(r</t>
    </r>
    <r>
      <rPr>
        <vertAlign val="subscript"/>
        <sz val="10"/>
        <rFont val="Arial"/>
        <family val="2"/>
      </rPr>
      <t>c</t>
    </r>
    <r>
      <rPr>
        <sz val="10"/>
        <rFont val="Arial"/>
        <family val="2"/>
      </rPr>
      <t xml:space="preserve"> / W</t>
    </r>
    <r>
      <rPr>
        <vertAlign val="subscript"/>
        <sz val="10"/>
        <rFont val="Arial"/>
        <family val="2"/>
      </rPr>
      <t>u</t>
    </r>
    <r>
      <rPr>
        <sz val="10"/>
        <rFont val="Arial"/>
        <family val="2"/>
      </rPr>
      <t>-2).  Thorne bend scour equation</t>
    </r>
  </si>
  <si>
    <r>
      <t>= (y</t>
    </r>
    <r>
      <rPr>
        <vertAlign val="subscript"/>
        <sz val="10"/>
        <rFont val="Arial"/>
        <family val="2"/>
      </rPr>
      <t>max</t>
    </r>
    <r>
      <rPr>
        <sz val="10"/>
        <rFont val="Arial"/>
        <family val="2"/>
      </rPr>
      <t xml:space="preserve"> / y</t>
    </r>
    <r>
      <rPr>
        <vertAlign val="subscript"/>
        <sz val="10"/>
        <rFont val="Arial"/>
        <family val="2"/>
      </rPr>
      <t>u)</t>
    </r>
    <r>
      <rPr>
        <sz val="10"/>
        <rFont val="Arial"/>
        <family val="2"/>
      </rPr>
      <t xml:space="preserve">  * y</t>
    </r>
    <r>
      <rPr>
        <vertAlign val="subscript"/>
        <sz val="10"/>
        <rFont val="Arial"/>
        <family val="2"/>
      </rPr>
      <t xml:space="preserve">u. </t>
    </r>
    <r>
      <rPr>
        <sz val="10"/>
        <rFont val="Arial"/>
        <family val="2"/>
      </rPr>
      <t xml:space="preserve"> Thorne bend scour below water surface.</t>
    </r>
  </si>
  <si>
    <r>
      <t>Within valid D</t>
    </r>
    <r>
      <rPr>
        <vertAlign val="subscript"/>
        <sz val="10"/>
        <rFont val="Arial"/>
        <family val="2"/>
      </rPr>
      <t>50</t>
    </r>
    <r>
      <rPr>
        <sz val="10"/>
        <rFont val="Arial"/>
        <family val="2"/>
      </rPr>
      <t xml:space="preserve"> range</t>
    </r>
  </si>
  <si>
    <r>
      <t>feet. = fraction * y</t>
    </r>
    <r>
      <rPr>
        <vertAlign val="subscript"/>
        <sz val="10"/>
        <rFont val="Arial"/>
        <family val="2"/>
      </rPr>
      <t>max</t>
    </r>
    <r>
      <rPr>
        <sz val="10"/>
        <rFont val="Arial"/>
        <family val="2"/>
      </rPr>
      <t xml:space="preserve"> for dune, 0.027 / 2 V</t>
    </r>
    <r>
      <rPr>
        <vertAlign val="superscript"/>
        <sz val="10"/>
        <rFont val="Arial"/>
        <family val="2"/>
      </rPr>
      <t>2</t>
    </r>
    <r>
      <rPr>
        <sz val="10"/>
        <rFont val="Arial"/>
        <family val="2"/>
      </rPr>
      <t xml:space="preserve"> for antidune, 0 for plane</t>
    </r>
  </si>
  <si>
    <t>General Scour</t>
  </si>
  <si>
    <t>mm</t>
  </si>
  <si>
    <t>Rank in Velocity Table for Grain Size at this depth</t>
  </si>
  <si>
    <t>feet.  Zeller Bend Scour, initial calculation</t>
  </si>
  <si>
    <t>feet.  Zeller Bend Scour, final (disallowing negative values)</t>
  </si>
  <si>
    <r>
      <t>y</t>
    </r>
    <r>
      <rPr>
        <vertAlign val="subscript"/>
        <sz val="10"/>
        <rFont val="Arial"/>
        <family val="2"/>
      </rPr>
      <t xml:space="preserve">bs, </t>
    </r>
    <r>
      <rPr>
        <sz val="10"/>
        <rFont val="Arial"/>
        <family val="2"/>
      </rPr>
      <t>prelimiinary</t>
    </r>
  </si>
  <si>
    <t>Reference:  Pemberton &amp; Lara, 1984</t>
  </si>
  <si>
    <t>Reference: ASCE, Predicting Bed Scour, 2005</t>
  </si>
  <si>
    <t>Reference: Simons Li &amp; Associates, 1985 (page 5.105-5.106)</t>
  </si>
  <si>
    <t>Sediment Diameter</t>
  </si>
  <si>
    <t>Zeller</t>
  </si>
  <si>
    <t>Blench Zero Bed</t>
  </si>
  <si>
    <t>Shields Incipient Motion</t>
  </si>
  <si>
    <t>SHEILD'S INCIPIENT MOTION</t>
  </si>
  <si>
    <t>Bedform Scour</t>
  </si>
  <si>
    <t>Schoklitsh</t>
  </si>
  <si>
    <t>Meyer-Peter, Muller</t>
  </si>
  <si>
    <t>Lane's Tractive Force</t>
  </si>
  <si>
    <t>Bend Scour</t>
  </si>
  <si>
    <t>Maynord</t>
  </si>
  <si>
    <t>Thorne</t>
  </si>
  <si>
    <t>Corps Engineers</t>
  </si>
  <si>
    <t>Instructions: Change values in colored cells only</t>
  </si>
  <si>
    <r>
      <t>d</t>
    </r>
    <r>
      <rPr>
        <b/>
        <vertAlign val="subscript"/>
        <sz val="10"/>
        <rFont val="Arial"/>
        <family val="2"/>
      </rPr>
      <t>s</t>
    </r>
  </si>
  <si>
    <t>feet. hydraulic depth of flow</t>
  </si>
  <si>
    <t>feet.  Maximum depth</t>
  </si>
  <si>
    <t>Reference: Flood Control District of Maricopa County, Draft Drainage Design Manual, Hydraulics, September 2003</t>
  </si>
  <si>
    <t>Bedform scour using Maricopa Co. dune scour method</t>
  </si>
  <si>
    <r>
      <t>D</t>
    </r>
    <r>
      <rPr>
        <i/>
        <vertAlign val="subscript"/>
        <sz val="10"/>
        <rFont val="Arial"/>
        <family val="2"/>
      </rPr>
      <t>50</t>
    </r>
  </si>
  <si>
    <r>
      <t>mm.  Mean particle size (used D</t>
    </r>
    <r>
      <rPr>
        <vertAlign val="subscript"/>
        <sz val="10"/>
        <rFont val="Arial"/>
        <family val="2"/>
      </rPr>
      <t>50</t>
    </r>
    <r>
      <rPr>
        <sz val="10"/>
        <rFont val="Arial"/>
        <family val="2"/>
      </rPr>
      <t>)</t>
    </r>
  </si>
  <si>
    <t>feet. (usually same or similar to mean depth)</t>
  </si>
  <si>
    <r>
      <t>mm. (used D</t>
    </r>
    <r>
      <rPr>
        <vertAlign val="subscript"/>
        <sz val="10"/>
        <rFont val="Arial"/>
        <family val="2"/>
      </rPr>
      <t>50</t>
    </r>
    <r>
      <rPr>
        <sz val="10"/>
        <rFont val="Arial"/>
        <family val="2"/>
      </rPr>
      <t>)</t>
    </r>
  </si>
  <si>
    <t>cfs. Bankfull or channel forming discharge</t>
  </si>
  <si>
    <t>feet.  Bankfull width.</t>
  </si>
  <si>
    <r>
      <t>Q</t>
    </r>
    <r>
      <rPr>
        <vertAlign val="subscript"/>
        <sz val="10"/>
        <rFont val="Arial"/>
        <family val="2"/>
      </rPr>
      <t>bankfull</t>
    </r>
  </si>
  <si>
    <r>
      <t>W</t>
    </r>
    <r>
      <rPr>
        <vertAlign val="subscript"/>
        <sz val="10"/>
        <rFont val="Arial"/>
        <family val="2"/>
      </rPr>
      <t>bankfull</t>
    </r>
  </si>
  <si>
    <t>Design flood discharge per unit width, q</t>
  </si>
  <si>
    <t>Calculated:</t>
  </si>
  <si>
    <t>Use Laceys regime equation for mean depth?</t>
  </si>
  <si>
    <t>Mean depth using Lacey's regime eq.</t>
  </si>
  <si>
    <t>Mean depth from inputs</t>
  </si>
  <si>
    <t>to calculate Chezy coefficient</t>
  </si>
  <si>
    <t>O</t>
  </si>
  <si>
    <t>Maximum depth of flow</t>
  </si>
  <si>
    <t>Fahrenheit.</t>
  </si>
  <si>
    <r>
      <t>Note:  The calculation shown here assumes that Q = Q</t>
    </r>
    <r>
      <rPr>
        <i/>
        <vertAlign val="subscript"/>
        <sz val="10"/>
        <rFont val="Arial"/>
        <family val="2"/>
      </rPr>
      <t>bf</t>
    </r>
  </si>
  <si>
    <t>mm.  90% finer than grain size.</t>
  </si>
  <si>
    <t>Sediment Diameter (mm)</t>
  </si>
  <si>
    <r>
      <t>ft</t>
    </r>
    <r>
      <rPr>
        <vertAlign val="superscript"/>
        <sz val="10"/>
        <rFont val="Arial"/>
        <family val="2"/>
      </rPr>
      <t>2</t>
    </r>
    <r>
      <rPr>
        <sz val="10"/>
        <rFont val="Arial"/>
        <family val="2"/>
      </rPr>
      <t xml:space="preserve"> /sec.  Kinematic viscosity of water (looked up based on water temperature).</t>
    </r>
  </si>
  <si>
    <t>Additional scour components</t>
  </si>
  <si>
    <t>feet.  Mean depth</t>
  </si>
  <si>
    <r>
      <t>feet.  Scour depth below streambed.  d</t>
    </r>
    <r>
      <rPr>
        <vertAlign val="subscript"/>
        <sz val="10"/>
        <rFont val="Arial"/>
        <family val="2"/>
      </rPr>
      <t>s</t>
    </r>
    <r>
      <rPr>
        <sz val="10"/>
        <rFont val="Arial"/>
        <family val="2"/>
      </rPr>
      <t xml:space="preserve"> = Z d</t>
    </r>
    <r>
      <rPr>
        <vertAlign val="subscript"/>
        <sz val="10"/>
        <rFont val="Arial"/>
        <family val="2"/>
      </rPr>
      <t>m</t>
    </r>
  </si>
  <si>
    <t>Scour depth, feet below streambed, from curve.</t>
  </si>
  <si>
    <t>feet.  Mean water depth for Lacey scour equation.</t>
  </si>
  <si>
    <r>
      <t>feet.  =Z * y</t>
    </r>
    <r>
      <rPr>
        <vertAlign val="subscript"/>
        <sz val="10"/>
        <rFont val="Arial"/>
        <family val="2"/>
      </rPr>
      <t>m</t>
    </r>
    <r>
      <rPr>
        <sz val="10"/>
        <rFont val="Arial"/>
        <family val="2"/>
      </rPr>
      <t>.   Scour depth below streambed</t>
    </r>
  </si>
  <si>
    <r>
      <t>feet.  =y</t>
    </r>
    <r>
      <rPr>
        <vertAlign val="subscript"/>
        <sz val="10"/>
        <rFont val="Arial"/>
        <family val="2"/>
      </rPr>
      <t>max</t>
    </r>
    <r>
      <rPr>
        <sz val="10"/>
        <rFont val="Arial"/>
        <family val="2"/>
      </rPr>
      <t xml:space="preserve"> [(0.0685 V</t>
    </r>
    <r>
      <rPr>
        <vertAlign val="subscript"/>
        <sz val="10"/>
        <rFont val="Arial"/>
        <family val="2"/>
      </rPr>
      <t>m</t>
    </r>
    <r>
      <rPr>
        <vertAlign val="superscript"/>
        <sz val="10"/>
        <rFont val="Arial"/>
        <family val="2"/>
      </rPr>
      <t>0.8</t>
    </r>
    <r>
      <rPr>
        <sz val="10"/>
        <rFont val="Arial"/>
        <family val="2"/>
      </rPr>
      <t>) / (y</t>
    </r>
    <r>
      <rPr>
        <vertAlign val="subscript"/>
        <sz val="10"/>
        <rFont val="Arial"/>
        <family val="2"/>
      </rPr>
      <t>h</t>
    </r>
    <r>
      <rPr>
        <vertAlign val="superscript"/>
        <sz val="10"/>
        <rFont val="Arial"/>
        <family val="2"/>
      </rPr>
      <t>0.4</t>
    </r>
    <r>
      <rPr>
        <sz val="10"/>
        <rFont val="Arial"/>
        <family val="2"/>
      </rPr>
      <t xml:space="preserve"> S</t>
    </r>
    <r>
      <rPr>
        <vertAlign val="subscript"/>
        <sz val="10"/>
        <rFont val="Arial"/>
        <family val="2"/>
      </rPr>
      <t>e</t>
    </r>
    <r>
      <rPr>
        <vertAlign val="superscript"/>
        <sz val="10"/>
        <rFont val="Arial"/>
        <family val="2"/>
      </rPr>
      <t>0.3</t>
    </r>
    <r>
      <rPr>
        <sz val="10"/>
        <rFont val="Arial"/>
        <family val="2"/>
      </rPr>
      <t>) -1].  Zeller equation general scour depth.</t>
    </r>
  </si>
  <si>
    <t>dimensionless.</t>
  </si>
  <si>
    <r>
      <t>y</t>
    </r>
    <r>
      <rPr>
        <b/>
        <vertAlign val="subscript"/>
        <sz val="10"/>
        <rFont val="Arial"/>
        <family val="2"/>
      </rPr>
      <t>bs</t>
    </r>
  </si>
  <si>
    <t>Lookup Table for Neill Competent Velocity</t>
  </si>
  <si>
    <t>Bends</t>
  </si>
  <si>
    <t>Lookup tables</t>
  </si>
  <si>
    <t>Maximum depth in the bend</t>
  </si>
  <si>
    <t>feet.  At upstream/approach section (for bend scour)</t>
  </si>
  <si>
    <t>Mean depth in the approach section</t>
  </si>
  <si>
    <t>Max depth bend / mean depth approach (Sand Bed Channels)</t>
  </si>
  <si>
    <t>Max depth bend / mean depth approach (Gravel Bed Channels)</t>
  </si>
  <si>
    <t>b</t>
  </si>
  <si>
    <t>feet.  Design discharge top width in the bend.</t>
  </si>
  <si>
    <t>Design Top Width, T (top width at design Q)</t>
  </si>
  <si>
    <t>pounds per square foot. = bed shear stress = 62.4 lb/ cubic foot * R * S</t>
  </si>
  <si>
    <t>D critical, 3rd estimate</t>
  </si>
  <si>
    <t>D critical, 2nd estimate</t>
  </si>
  <si>
    <t>D, 1st estimate</t>
  </si>
  <si>
    <t>Arbitrary estimate of initial slope</t>
  </si>
  <si>
    <r>
      <t>lb / ft</t>
    </r>
    <r>
      <rPr>
        <vertAlign val="superscript"/>
        <sz val="10"/>
        <rFont val="Arial"/>
        <family val="2"/>
      </rPr>
      <t>3</t>
    </r>
    <r>
      <rPr>
        <sz val="10"/>
        <rFont val="Arial"/>
        <family val="2"/>
      </rPr>
      <t>.  Assumed Density of sediment</t>
    </r>
  </si>
  <si>
    <t>X = required, O = optional for additional calculations, I=used as initial estimate</t>
  </si>
  <si>
    <t>psf.  Curve for canals with clear water used.  Curve valid from 0.1mm to 5mm</t>
  </si>
  <si>
    <t>feet. Mean water depth for dominant discharge</t>
  </si>
  <si>
    <r>
      <t>= K</t>
    </r>
    <r>
      <rPr>
        <vertAlign val="subscript"/>
        <sz val="10"/>
        <rFont val="Arial"/>
        <family val="2"/>
      </rPr>
      <t>mpm</t>
    </r>
    <r>
      <rPr>
        <sz val="10"/>
        <rFont val="Arial"/>
        <family val="2"/>
      </rPr>
      <t xml:space="preserve"> (Q /  Q</t>
    </r>
    <r>
      <rPr>
        <vertAlign val="subscript"/>
        <sz val="10"/>
        <rFont val="Arial"/>
        <family val="2"/>
      </rPr>
      <t>bf</t>
    </r>
    <r>
      <rPr>
        <sz val="10"/>
        <rFont val="Arial"/>
        <family val="2"/>
      </rPr>
      <t>) (n</t>
    </r>
    <r>
      <rPr>
        <vertAlign val="subscript"/>
        <sz val="10"/>
        <rFont val="Arial"/>
        <family val="2"/>
      </rPr>
      <t>s</t>
    </r>
    <r>
      <rPr>
        <sz val="10"/>
        <rFont val="Arial"/>
        <family val="2"/>
      </rPr>
      <t xml:space="preserve"> / D</t>
    </r>
    <r>
      <rPr>
        <vertAlign val="subscript"/>
        <sz val="10"/>
        <rFont val="Arial"/>
        <family val="2"/>
      </rPr>
      <t>90</t>
    </r>
    <r>
      <rPr>
        <vertAlign val="superscript"/>
        <sz val="10"/>
        <rFont val="Arial"/>
        <family val="2"/>
      </rPr>
      <t>1/6</t>
    </r>
    <r>
      <rPr>
        <sz val="10"/>
        <rFont val="Arial"/>
        <family val="2"/>
      </rPr>
      <t>)</t>
    </r>
    <r>
      <rPr>
        <vertAlign val="superscript"/>
        <sz val="10"/>
        <rFont val="Arial"/>
        <family val="2"/>
      </rPr>
      <t>3/2</t>
    </r>
    <r>
      <rPr>
        <sz val="10"/>
        <rFont val="Arial"/>
        <family val="2"/>
      </rPr>
      <t xml:space="preserve"> * D / d.  Meyer-Peter, Muller Limiting Slope</t>
    </r>
  </si>
  <si>
    <t>Mean Water Depth</t>
  </si>
  <si>
    <r>
      <t xml:space="preserve">= </t>
    </r>
    <r>
      <rPr>
        <sz val="10"/>
        <rFont val="Times"/>
        <family val="1"/>
      </rPr>
      <t>τ</t>
    </r>
    <r>
      <rPr>
        <sz val="10"/>
        <rFont val="Arial"/>
        <family val="2"/>
      </rPr>
      <t>/(</t>
    </r>
    <r>
      <rPr>
        <sz val="10"/>
        <rFont val="Times"/>
        <family val="1"/>
      </rPr>
      <t>γ</t>
    </r>
    <r>
      <rPr>
        <sz val="10"/>
        <rFont val="Arial"/>
        <family val="2"/>
      </rPr>
      <t>* hyd radius) = Lane Stable Slope</t>
    </r>
  </si>
  <si>
    <t>τ</t>
  </si>
  <si>
    <t>ν</t>
  </si>
  <si>
    <r>
      <t>Equation limited to r</t>
    </r>
    <r>
      <rPr>
        <vertAlign val="subscript"/>
        <sz val="10"/>
        <rFont val="Arial"/>
        <family val="2"/>
      </rPr>
      <t>c</t>
    </r>
    <r>
      <rPr>
        <sz val="10"/>
        <rFont val="Arial"/>
        <family val="2"/>
      </rPr>
      <t xml:space="preserve"> / W</t>
    </r>
    <r>
      <rPr>
        <vertAlign val="subscript"/>
        <sz val="10"/>
        <rFont val="Arial"/>
        <family val="2"/>
      </rPr>
      <t>u</t>
    </r>
    <r>
      <rPr>
        <sz val="10"/>
        <rFont val="Arial"/>
        <family val="2"/>
      </rPr>
      <t>&gt;2</t>
    </r>
  </si>
  <si>
    <r>
      <t>Equation limited to r</t>
    </r>
    <r>
      <rPr>
        <vertAlign val="subscript"/>
        <sz val="10"/>
        <rFont val="Arial"/>
        <family val="2"/>
      </rPr>
      <t>c</t>
    </r>
    <r>
      <rPr>
        <sz val="10"/>
        <rFont val="Arial"/>
        <family val="2"/>
      </rPr>
      <t xml:space="preserve"> / W</t>
    </r>
    <r>
      <rPr>
        <vertAlign val="subscript"/>
        <sz val="10"/>
        <rFont val="Arial"/>
        <family val="2"/>
      </rPr>
      <t>u</t>
    </r>
    <r>
      <rPr>
        <sz val="10"/>
        <rFont val="Arial"/>
        <family val="2"/>
      </rPr>
      <t xml:space="preserve"> &lt; 10, ratio in equation set to 1.5 if less</t>
    </r>
  </si>
  <si>
    <r>
      <t>Equation limited to W</t>
    </r>
    <r>
      <rPr>
        <vertAlign val="subscript"/>
        <sz val="10"/>
        <rFont val="Arial"/>
        <family val="2"/>
      </rPr>
      <t>u</t>
    </r>
    <r>
      <rPr>
        <sz val="10"/>
        <rFont val="Arial"/>
        <family val="2"/>
      </rPr>
      <t xml:space="preserve"> / y</t>
    </r>
    <r>
      <rPr>
        <vertAlign val="subscript"/>
        <sz val="10"/>
        <rFont val="Arial"/>
        <family val="2"/>
      </rPr>
      <t>u</t>
    </r>
    <r>
      <rPr>
        <sz val="10"/>
        <rFont val="Arial"/>
        <family val="2"/>
      </rPr>
      <t xml:space="preserve"> &lt; 125, ratio in equation set to 20 if less</t>
    </r>
  </si>
  <si>
    <t>R/T</t>
  </si>
  <si>
    <r>
      <t>τ</t>
    </r>
    <r>
      <rPr>
        <vertAlign val="subscript"/>
        <sz val="10"/>
        <rFont val="Arial"/>
        <family val="2"/>
      </rPr>
      <t>*</t>
    </r>
  </si>
  <si>
    <r>
      <t>U</t>
    </r>
    <r>
      <rPr>
        <vertAlign val="subscript"/>
        <sz val="10"/>
        <rFont val="Arial"/>
        <family val="2"/>
      </rPr>
      <t>*</t>
    </r>
  </si>
  <si>
    <r>
      <t>R</t>
    </r>
    <r>
      <rPr>
        <vertAlign val="subscript"/>
        <sz val="10"/>
        <rFont val="Arial"/>
        <family val="2"/>
      </rPr>
      <t>*</t>
    </r>
  </si>
  <si>
    <r>
      <t>Log</t>
    </r>
    <r>
      <rPr>
        <vertAlign val="subscript"/>
        <sz val="10"/>
        <rFont val="Arial"/>
        <family val="2"/>
      </rPr>
      <t>10</t>
    </r>
    <r>
      <rPr>
        <sz val="10"/>
        <rFont val="Arial"/>
        <family val="2"/>
      </rPr>
      <t>(R</t>
    </r>
    <r>
      <rPr>
        <vertAlign val="subscript"/>
        <sz val="10"/>
        <rFont val="Arial"/>
        <family val="2"/>
      </rPr>
      <t>*</t>
    </r>
    <r>
      <rPr>
        <sz val="10"/>
        <rFont val="Arial"/>
        <family val="2"/>
      </rPr>
      <t>)</t>
    </r>
  </si>
  <si>
    <r>
      <t>= K</t>
    </r>
    <r>
      <rPr>
        <vertAlign val="subscript"/>
        <sz val="10"/>
        <rFont val="Arial"/>
        <family val="2"/>
      </rPr>
      <t>s</t>
    </r>
    <r>
      <rPr>
        <sz val="10"/>
        <rFont val="Arial"/>
        <family val="2"/>
      </rPr>
      <t xml:space="preserve"> (D * W</t>
    </r>
    <r>
      <rPr>
        <vertAlign val="subscript"/>
        <sz val="10"/>
        <rFont val="Arial"/>
        <family val="2"/>
      </rPr>
      <t>bf</t>
    </r>
    <r>
      <rPr>
        <sz val="10"/>
        <rFont val="Arial"/>
        <family val="2"/>
      </rPr>
      <t xml:space="preserve"> / Q)</t>
    </r>
    <r>
      <rPr>
        <vertAlign val="superscript"/>
        <sz val="10"/>
        <rFont val="Arial"/>
        <family val="2"/>
      </rPr>
      <t>3/4</t>
    </r>
    <r>
      <rPr>
        <sz val="10"/>
        <rFont val="Arial"/>
        <family val="2"/>
      </rPr>
      <t>.  Schoklitch Equilibrium Slope.</t>
    </r>
  </si>
  <si>
    <r>
      <t>U</t>
    </r>
    <r>
      <rPr>
        <vertAlign val="subscript"/>
        <sz val="12"/>
        <rFont val="Arial"/>
        <family val="2"/>
      </rPr>
      <t>*</t>
    </r>
  </si>
  <si>
    <r>
      <t>Boundary Reynolds Number = U</t>
    </r>
    <r>
      <rPr>
        <vertAlign val="subscript"/>
        <sz val="10"/>
        <rFont val="Arial"/>
        <family val="2"/>
      </rPr>
      <t>*</t>
    </r>
    <r>
      <rPr>
        <sz val="10"/>
        <rFont val="Arial"/>
        <family val="2"/>
      </rPr>
      <t xml:space="preserve"> * D</t>
    </r>
    <r>
      <rPr>
        <vertAlign val="subscript"/>
        <sz val="10"/>
        <rFont val="Arial"/>
        <family val="2"/>
      </rPr>
      <t>50</t>
    </r>
    <r>
      <rPr>
        <sz val="10"/>
        <rFont val="Arial"/>
        <family val="2"/>
      </rPr>
      <t xml:space="preserve"> / </t>
    </r>
    <r>
      <rPr>
        <sz val="10"/>
        <rFont val="Times"/>
        <family val="1"/>
      </rPr>
      <t>ν</t>
    </r>
    <r>
      <rPr>
        <sz val="10"/>
        <rFont val="Arial"/>
        <family val="2"/>
      </rPr>
      <t>.  1st iteration</t>
    </r>
  </si>
  <si>
    <r>
      <t xml:space="preserve">= </t>
    </r>
    <r>
      <rPr>
        <sz val="10"/>
        <rFont val="Times"/>
        <family val="1"/>
      </rPr>
      <t>τ</t>
    </r>
    <r>
      <rPr>
        <vertAlign val="subscript"/>
        <sz val="10"/>
        <rFont val="Arial"/>
        <family val="2"/>
      </rPr>
      <t>*</t>
    </r>
    <r>
      <rPr>
        <sz val="10"/>
        <rFont val="Arial"/>
        <family val="2"/>
      </rPr>
      <t xml:space="preserve"> * (</t>
    </r>
    <r>
      <rPr>
        <sz val="10"/>
        <rFont val="Times"/>
        <family val="1"/>
      </rPr>
      <t>γ</t>
    </r>
    <r>
      <rPr>
        <vertAlign val="subscript"/>
        <sz val="10"/>
        <rFont val="Arial"/>
        <family val="2"/>
      </rPr>
      <t>s</t>
    </r>
    <r>
      <rPr>
        <sz val="10"/>
        <rFont val="Arial"/>
        <family val="2"/>
      </rPr>
      <t xml:space="preserve"> - </t>
    </r>
    <r>
      <rPr>
        <sz val="10"/>
        <rFont val="Times"/>
        <family val="1"/>
      </rPr>
      <t>γ</t>
    </r>
    <r>
      <rPr>
        <vertAlign val="subscript"/>
        <sz val="10"/>
        <rFont val="Arial"/>
        <family val="2"/>
      </rPr>
      <t>w</t>
    </r>
    <r>
      <rPr>
        <sz val="10"/>
        <rFont val="Arial"/>
        <family val="2"/>
      </rPr>
      <t>) * D</t>
    </r>
    <r>
      <rPr>
        <vertAlign val="subscript"/>
        <sz val="10"/>
        <rFont val="Arial"/>
        <family val="2"/>
      </rPr>
      <t xml:space="preserve">50. </t>
    </r>
    <r>
      <rPr>
        <sz val="10"/>
        <rFont val="Arial"/>
        <family val="2"/>
      </rPr>
      <t xml:space="preserve"> </t>
    </r>
    <r>
      <rPr>
        <sz val="10"/>
        <rFont val="Times"/>
        <family val="1"/>
      </rPr>
      <t>γ</t>
    </r>
    <r>
      <rPr>
        <vertAlign val="subscript"/>
        <sz val="10"/>
        <rFont val="Arial"/>
        <family val="2"/>
      </rPr>
      <t>s</t>
    </r>
    <r>
      <rPr>
        <sz val="10"/>
        <rFont val="Arial"/>
        <family val="2"/>
      </rPr>
      <t xml:space="preserve"> assumed to be 165 pcf</t>
    </r>
  </si>
  <si>
    <r>
      <t>τ</t>
    </r>
    <r>
      <rPr>
        <sz val="10"/>
        <rFont val="Arial"/>
        <family val="2"/>
      </rPr>
      <t>0</t>
    </r>
  </si>
  <si>
    <r>
      <t>γ</t>
    </r>
    <r>
      <rPr>
        <sz val="10"/>
        <rFont val="Arial"/>
        <family val="2"/>
      </rPr>
      <t xml:space="preserve"> Sediment</t>
    </r>
  </si>
  <si>
    <t>γ Water</t>
  </si>
  <si>
    <r>
      <t>Log</t>
    </r>
    <r>
      <rPr>
        <vertAlign val="subscript"/>
        <sz val="10"/>
        <rFont val="Arial"/>
        <family val="2"/>
      </rPr>
      <t>10</t>
    </r>
    <r>
      <rPr>
        <sz val="10"/>
        <rFont val="Arial"/>
        <family val="2"/>
      </rPr>
      <t>(R</t>
    </r>
    <r>
      <rPr>
        <vertAlign val="subscript"/>
        <sz val="10"/>
        <rFont val="Arial"/>
        <family val="2"/>
      </rPr>
      <t>*</t>
    </r>
    <r>
      <rPr>
        <sz val="10"/>
        <rFont val="Arial"/>
        <family val="2"/>
      </rPr>
      <t>)</t>
    </r>
  </si>
  <si>
    <t>R*</t>
  </si>
  <si>
    <r>
      <t>Initial Estimate = U</t>
    </r>
    <r>
      <rPr>
        <vertAlign val="subscript"/>
        <sz val="10"/>
        <rFont val="Arial"/>
        <family val="2"/>
      </rPr>
      <t>*</t>
    </r>
    <r>
      <rPr>
        <sz val="10"/>
        <rFont val="Arial"/>
        <family val="2"/>
      </rPr>
      <t xml:space="preserve"> * D</t>
    </r>
    <r>
      <rPr>
        <vertAlign val="subscript"/>
        <sz val="10"/>
        <rFont val="Arial"/>
        <family val="2"/>
      </rPr>
      <t>critical</t>
    </r>
    <r>
      <rPr>
        <sz val="10"/>
        <rFont val="Arial"/>
        <family val="2"/>
      </rPr>
      <t xml:space="preserve"> / </t>
    </r>
    <r>
      <rPr>
        <sz val="10"/>
        <rFont val="Times"/>
        <family val="1"/>
      </rPr>
      <t>ν</t>
    </r>
  </si>
  <si>
    <r>
      <t>2</t>
    </r>
    <r>
      <rPr>
        <vertAlign val="superscript"/>
        <sz val="10"/>
        <rFont val="Arial"/>
        <family val="2"/>
      </rPr>
      <t>nd</t>
    </r>
    <r>
      <rPr>
        <sz val="10"/>
        <rFont val="Arial"/>
        <family val="2"/>
      </rPr>
      <t xml:space="preserve"> Estimate = U</t>
    </r>
    <r>
      <rPr>
        <vertAlign val="subscript"/>
        <sz val="10"/>
        <rFont val="Arial"/>
        <family val="2"/>
      </rPr>
      <t>*</t>
    </r>
    <r>
      <rPr>
        <sz val="10"/>
        <rFont val="Arial"/>
        <family val="2"/>
      </rPr>
      <t xml:space="preserve"> * D</t>
    </r>
    <r>
      <rPr>
        <vertAlign val="subscript"/>
        <sz val="10"/>
        <rFont val="Arial"/>
        <family val="2"/>
      </rPr>
      <t>critical</t>
    </r>
    <r>
      <rPr>
        <sz val="10"/>
        <rFont val="Arial"/>
        <family val="2"/>
      </rPr>
      <t xml:space="preserve"> / </t>
    </r>
    <r>
      <rPr>
        <sz val="10"/>
        <rFont val="Times"/>
        <family val="1"/>
      </rPr>
      <t>ν</t>
    </r>
  </si>
  <si>
    <r>
      <t xml:space="preserve">feet. = </t>
    </r>
    <r>
      <rPr>
        <sz val="10"/>
        <rFont val="Times"/>
        <family val="1"/>
      </rPr>
      <t>τ</t>
    </r>
    <r>
      <rPr>
        <sz val="10"/>
        <rFont val="Arial"/>
        <family val="2"/>
      </rPr>
      <t>0 / (</t>
    </r>
    <r>
      <rPr>
        <sz val="10"/>
        <rFont val="Times"/>
        <family val="1"/>
      </rPr>
      <t>τ</t>
    </r>
    <r>
      <rPr>
        <vertAlign val="subscript"/>
        <sz val="10"/>
        <rFont val="Arial"/>
        <family val="2"/>
      </rPr>
      <t>*</t>
    </r>
    <r>
      <rPr>
        <sz val="10"/>
        <rFont val="Arial"/>
        <family val="2"/>
      </rPr>
      <t xml:space="preserve"> * (</t>
    </r>
    <r>
      <rPr>
        <sz val="10"/>
        <rFont val="Times"/>
        <family val="1"/>
      </rPr>
      <t>γ</t>
    </r>
    <r>
      <rPr>
        <sz val="10"/>
        <rFont val="Arial"/>
        <family val="2"/>
      </rPr>
      <t xml:space="preserve">Sed -  </t>
    </r>
    <r>
      <rPr>
        <sz val="10"/>
        <rFont val="Times"/>
        <family val="1"/>
      </rPr>
      <t>γ</t>
    </r>
    <r>
      <rPr>
        <sz val="10"/>
        <rFont val="Arial"/>
        <family val="2"/>
      </rPr>
      <t>Water)).  2</t>
    </r>
    <r>
      <rPr>
        <vertAlign val="superscript"/>
        <sz val="10"/>
        <rFont val="Arial"/>
        <family val="2"/>
      </rPr>
      <t>nd</t>
    </r>
    <r>
      <rPr>
        <sz val="10"/>
        <rFont val="Arial"/>
        <family val="2"/>
      </rPr>
      <t xml:space="preserve"> estimate of D</t>
    </r>
    <r>
      <rPr>
        <vertAlign val="subscript"/>
        <sz val="10"/>
        <rFont val="Arial"/>
        <family val="2"/>
      </rPr>
      <t>critical</t>
    </r>
  </si>
  <si>
    <r>
      <t>2</t>
    </r>
    <r>
      <rPr>
        <vertAlign val="superscript"/>
        <sz val="10"/>
        <rFont val="Arial"/>
        <family val="2"/>
      </rPr>
      <t>nd</t>
    </r>
    <r>
      <rPr>
        <sz val="10"/>
        <rFont val="Arial"/>
        <family val="2"/>
      </rPr>
      <t xml:space="preserve"> estimate of </t>
    </r>
    <r>
      <rPr>
        <sz val="10"/>
        <rFont val="Times"/>
        <family val="1"/>
      </rPr>
      <t>τ</t>
    </r>
    <r>
      <rPr>
        <vertAlign val="subscript"/>
        <sz val="10"/>
        <rFont val="Arial"/>
        <family val="2"/>
      </rPr>
      <t>*</t>
    </r>
    <r>
      <rPr>
        <sz val="10"/>
        <rFont val="Arial"/>
        <family val="2"/>
      </rPr>
      <t>.  Looked up from Shields Table</t>
    </r>
  </si>
  <si>
    <r>
      <t xml:space="preserve">feet. = </t>
    </r>
    <r>
      <rPr>
        <sz val="10"/>
        <rFont val="Times"/>
        <family val="1"/>
      </rPr>
      <t>τ</t>
    </r>
    <r>
      <rPr>
        <sz val="10"/>
        <rFont val="Arial"/>
        <family val="2"/>
      </rPr>
      <t>0 / (</t>
    </r>
    <r>
      <rPr>
        <sz val="10"/>
        <rFont val="Times"/>
        <family val="1"/>
      </rPr>
      <t>τ</t>
    </r>
    <r>
      <rPr>
        <vertAlign val="subscript"/>
        <sz val="10"/>
        <rFont val="Arial"/>
        <family val="2"/>
      </rPr>
      <t>*</t>
    </r>
    <r>
      <rPr>
        <sz val="10"/>
        <rFont val="Arial"/>
        <family val="2"/>
      </rPr>
      <t xml:space="preserve"> * (</t>
    </r>
    <r>
      <rPr>
        <sz val="10"/>
        <rFont val="Times"/>
        <family val="1"/>
      </rPr>
      <t>γ</t>
    </r>
    <r>
      <rPr>
        <sz val="10"/>
        <rFont val="Arial"/>
        <family val="2"/>
      </rPr>
      <t xml:space="preserve">Sed -  </t>
    </r>
    <r>
      <rPr>
        <sz val="10"/>
        <rFont val="Times"/>
        <family val="1"/>
      </rPr>
      <t>γ</t>
    </r>
    <r>
      <rPr>
        <sz val="10"/>
        <rFont val="Arial"/>
        <family val="2"/>
      </rPr>
      <t>Water)).  3</t>
    </r>
    <r>
      <rPr>
        <vertAlign val="superscript"/>
        <sz val="10"/>
        <rFont val="Arial"/>
        <family val="2"/>
      </rPr>
      <t>rd</t>
    </r>
    <r>
      <rPr>
        <sz val="10"/>
        <rFont val="Arial"/>
        <family val="2"/>
      </rPr>
      <t xml:space="preserve"> estimate of D</t>
    </r>
    <r>
      <rPr>
        <vertAlign val="subscript"/>
        <sz val="10"/>
        <rFont val="Arial"/>
        <family val="2"/>
      </rPr>
      <t>critical</t>
    </r>
  </si>
  <si>
    <r>
      <t xml:space="preserve">= </t>
    </r>
    <r>
      <rPr>
        <sz val="10"/>
        <rFont val="Times"/>
        <family val="1"/>
      </rPr>
      <t>τ</t>
    </r>
    <r>
      <rPr>
        <sz val="10"/>
        <rFont val="Arial"/>
        <family val="2"/>
      </rPr>
      <t>/(</t>
    </r>
    <r>
      <rPr>
        <sz val="10"/>
        <rFont val="Times"/>
        <family val="1"/>
      </rPr>
      <t>γ</t>
    </r>
    <r>
      <rPr>
        <vertAlign val="subscript"/>
        <sz val="10"/>
        <rFont val="Arial"/>
        <family val="2"/>
      </rPr>
      <t>w</t>
    </r>
    <r>
      <rPr>
        <sz val="10"/>
        <rFont val="Arial"/>
        <family val="2"/>
      </rPr>
      <t xml:space="preserve"> * hyd radius).  1</t>
    </r>
    <r>
      <rPr>
        <vertAlign val="superscript"/>
        <sz val="10"/>
        <rFont val="Arial"/>
        <family val="2"/>
      </rPr>
      <t>st</t>
    </r>
    <r>
      <rPr>
        <sz val="10"/>
        <rFont val="Arial"/>
        <family val="2"/>
      </rPr>
      <t xml:space="preserve"> estimate of slope</t>
    </r>
  </si>
  <si>
    <r>
      <t>2</t>
    </r>
    <r>
      <rPr>
        <vertAlign val="superscript"/>
        <sz val="10"/>
        <rFont val="Arial"/>
        <family val="2"/>
      </rPr>
      <t>nd</t>
    </r>
    <r>
      <rPr>
        <sz val="10"/>
        <rFont val="Arial"/>
        <family val="2"/>
      </rPr>
      <t xml:space="preserve"> Iteration</t>
    </r>
  </si>
  <si>
    <r>
      <t>3</t>
    </r>
    <r>
      <rPr>
        <vertAlign val="superscript"/>
        <sz val="10"/>
        <rFont val="Arial"/>
        <family val="2"/>
      </rPr>
      <t>rd</t>
    </r>
    <r>
      <rPr>
        <sz val="10"/>
        <rFont val="Arial"/>
        <family val="2"/>
      </rPr>
      <t xml:space="preserve"> Iteration</t>
    </r>
  </si>
  <si>
    <r>
      <t>4</t>
    </r>
    <r>
      <rPr>
        <vertAlign val="superscript"/>
        <sz val="10"/>
        <rFont val="Arial"/>
        <family val="2"/>
      </rPr>
      <t>th</t>
    </r>
    <r>
      <rPr>
        <sz val="10"/>
        <rFont val="Arial"/>
        <family val="2"/>
      </rPr>
      <t xml:space="preserve"> Iteration</t>
    </r>
  </si>
  <si>
    <r>
      <t>5</t>
    </r>
    <r>
      <rPr>
        <vertAlign val="superscript"/>
        <sz val="10"/>
        <rFont val="Arial"/>
        <family val="2"/>
      </rPr>
      <t>th</t>
    </r>
    <r>
      <rPr>
        <sz val="10"/>
        <rFont val="Arial"/>
        <family val="2"/>
      </rPr>
      <t xml:space="preserve"> Iteration</t>
    </r>
  </si>
  <si>
    <r>
      <t>sin</t>
    </r>
    <r>
      <rPr>
        <vertAlign val="superscript"/>
        <sz val="10"/>
        <rFont val="Arial"/>
        <family val="2"/>
      </rPr>
      <t>2</t>
    </r>
    <r>
      <rPr>
        <sz val="10"/>
        <rFont val="Arial"/>
        <family val="2"/>
      </rPr>
      <t>(α/2)/cos(</t>
    </r>
    <r>
      <rPr>
        <sz val="10"/>
        <rFont val="Times"/>
        <family val="1"/>
      </rPr>
      <t>α</t>
    </r>
    <r>
      <rPr>
        <sz val="10"/>
        <rFont val="Arial"/>
        <family val="2"/>
      </rPr>
      <t>)</t>
    </r>
  </si>
  <si>
    <r>
      <t>D</t>
    </r>
    <r>
      <rPr>
        <vertAlign val="subscript"/>
        <sz val="10"/>
        <rFont val="Arial"/>
        <family val="2"/>
      </rPr>
      <t>critical</t>
    </r>
    <r>
      <rPr>
        <sz val="10"/>
        <rFont val="Arial"/>
        <family val="2"/>
      </rPr>
      <t>, feet, final</t>
    </r>
  </si>
  <si>
    <r>
      <t>D</t>
    </r>
    <r>
      <rPr>
        <b/>
        <vertAlign val="subscript"/>
        <sz val="10"/>
        <rFont val="Arial"/>
        <family val="2"/>
      </rPr>
      <t>critical</t>
    </r>
    <r>
      <rPr>
        <b/>
        <sz val="10"/>
        <rFont val="Arial"/>
        <family val="2"/>
      </rPr>
      <t>, mm, final</t>
    </r>
  </si>
  <si>
    <t>Reference: Simons Li &amp; Associates, 1985</t>
  </si>
  <si>
    <t>Reference: Thorne et. al, 1995 via ASCE, 2005</t>
  </si>
  <si>
    <t>Flood Control District of Maricopa County, “Drainage Design Manual, Draft,” Hydraulics, September, 2003</t>
  </si>
  <si>
    <t xml:space="preserve"> (ft3/s/ft).  Design flood discharge per unit width</t>
  </si>
  <si>
    <t>ft / s.  Ustar = (S R g)^(1/2).</t>
  </si>
  <si>
    <t>USBR Envelope Cure</t>
  </si>
  <si>
    <t>Lacey Z from Lacey's method</t>
  </si>
  <si>
    <t>I</t>
  </si>
  <si>
    <t>Bankfull Depth at Channel-Forming Discharge</t>
  </si>
  <si>
    <t>Bankfull Width at Channel-Forming Discharge</t>
  </si>
  <si>
    <t>END USER LICENSE AGREEMENT FOR PBS&amp;J SOFTWARE</t>
  </si>
  <si>
    <t>IMPORTANT – READ CAREFULLY:  This End-User License Agreement (“EULA”) is a legal agreement between you (either an individual or a single entity) and Post, Buckley, Schuh &amp; Jernigan, Inc. (PBS&amp;J) for the PBS&amp;J Software that accompanies the EULA.  YOU AGREE TO BE BOUND BY THE TERMS OF THIS EULA BY INSTALLING, COPYING, OR USING THE SOFTWARE.  IF YOU DO NOT AGREE, DO NOT INSTALL, COPY OR USE THE SOFTWARE.</t>
  </si>
  <si>
    <t>1. GRANT OF LICENSE.  PBS&amp;J grants you the following rights provided that you comply with all the terms and conditions of this EULA:</t>
  </si>
  <si>
    <t>1.2 You may not sell, resell, license, rent, lease, lend, or otherwise transfer for value, the Software.  You may not license or distribute copies of the Software by itself or as part of any other software, product or service.  You may not grant customers of your product or service any rights to license or distribute the Software.  You may not license or distribute the Software or imply any PBS&amp;J endorsement or association with any product, service, entity or activity.</t>
  </si>
  <si>
    <t>1.3 You must defend and indemnify PBS&amp;J against any claims or lawsuits, including attorneys’ fees, that arise from or result from the licensing or distribution of this software.</t>
  </si>
  <si>
    <t>2.  RESERVATION OF RIGHTS AND OWNERSHIP.  PBS&amp;J reserves all rights not expressly granted to you in this EULA.  The Software is protected by copyright and other intellectual property laws and treaties.  PBS&amp;J owns the title, copyright, and other intellectual property in the Software.  The Software is licensed, not sold.  This EULA does not grant you any rights to trademarks or service marks of PBS&amp;J.</t>
  </si>
  <si>
    <t>3.  CONSENT TO USE OF DATA.  You agree that PBS&amp;J may collect and use technical information gathered as part of the product support provided to you, if any, related to the Software.  PBS&amp;J may use this information to improve our products or provide customized services or technologies in the future and will not disclose this information in a form that personally identifies you.</t>
  </si>
  <si>
    <t>4. TERMINATION.  Without prejudice to any other rights, PBS&amp;J may terminate this EULA if you fail to comply with the terms and conditions of this EULA.  In such event, you must destroy all copies of the Software and all of its component parts.</t>
  </si>
  <si>
    <t xml:space="preserve">5.  DISCLAIMER OF WARRANTIES.  THIS SOFTWARE IS PROVIDED BY THE COPYRIGHT HOLDERS AND CONTRIBUTORS AS IS AND ANY EXPRESS OR IMPLIED WARRANTIES, INCLUDING, BUT NOT LIMITED TO, THE IMPLIED WARRANTIES OF MERCHANTABILITY AND FITNESS FOR A PARTICULAR PURPOSE ARE DISCLAIMED.  ALSO, THERE IS NO WARRANTY OR CONDITION OF TITLE, QUITE ENJOYMENT, QUIET POSSESSION, CORRESPONDENCE TO DESCRIPTION OR NON-INFRINGEMENT WITH REGARD TO THE SOFTWARE.  IN NO EVENT SHALL THE COPYRIGHT OWNER OR CONTRIBUTORS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t>
  </si>
  <si>
    <t>6.  INDEMNIFICATION.  YOU SHALL DEFEND, INDEMNIFY AND SAVE HARMLESS PBS&amp;J, AND ITS AGENTS, REPRESENTATIVES AND EMPLOYEES, FROM AND AGAINST ANY AND ALL SUITS, ACTIONS, LEGAL PROCEEDINGS, CLAIMS, DEMANDS, DAMAGES, LIABILITIES, COSTS AND EXPENSES, INCLUDING ATTORNEY'S FEES, ARISING OUT OF OR IN CONNECTION WITH OR CLAIMED TO ARISE OUT OF OR IN CONNECTION WITH YOUR USE OF THE SOFTWARE.</t>
  </si>
  <si>
    <t>7.  Limitation of Liability and Remedies.  Notwithstanding any damages that you might incur for any reason whatsoever (including, without limitation, all damages reference herein and all direct or =general damages in contract or anything else), the entire liability of PBS&amp;J under any provisions of this EULA shall be limited to the greater of the actual damages you incur in reasonable reliance on the Software up to the amount actually paid by you for the Software or US$5.00.  The foregoing limitations, exclusions and disclaimers shall apply to the maximum extent permitted by applicable law, even if any remedy fails its essential purpose.</t>
  </si>
  <si>
    <t>8.  Applicable Law.  This EULA shall be governed by the laws of the State of Florida.</t>
  </si>
  <si>
    <t>9.  Entire Agreement; Severability.  This EULA is the entire agreement between you and PBS&amp;J relating to the Software and supersedes all prior or contemporaneous oral or written communications, proposals and representations with respect to the Software or any other subject matter covered by this EULA.  If any provision of this EULA is held to be void, invalid, unenforceable or illegal, the other provisions shall continue in full force and effect.</t>
  </si>
  <si>
    <t>Reference: Corps of Engrs. EM 1110-2-1601 Plate B41</t>
  </si>
  <si>
    <t>Inputs for Bend Scour only:</t>
  </si>
  <si>
    <t>feet.  At upstream end of bend (for Maynord bend scour)</t>
  </si>
  <si>
    <t>At upstream end (for Zeller bend scour)</t>
  </si>
  <si>
    <r>
      <t>feet.  = 2.3 (C g</t>
    </r>
    <r>
      <rPr>
        <vertAlign val="superscript"/>
        <sz val="10"/>
        <rFont val="Arial"/>
        <family val="2"/>
      </rPr>
      <t>1/2</t>
    </r>
    <r>
      <rPr>
        <sz val="10"/>
        <rFont val="Arial"/>
        <family val="2"/>
      </rPr>
      <t>) y.  Distance downstream of end of curvature to where downstream currents have dissipated</t>
    </r>
  </si>
  <si>
    <t>Y means the scour component is included</t>
  </si>
  <si>
    <t>* If resolution of survey is sufficient to capture thalweg formation, this component is not needed</t>
  </si>
  <si>
    <t>** Also compute general scour and take the larger of the two</t>
  </si>
  <si>
    <t>Long term</t>
  </si>
  <si>
    <t>General</t>
  </si>
  <si>
    <t>Bend</t>
  </si>
  <si>
    <t>Bed Form</t>
  </si>
  <si>
    <t>Thalweg*</t>
  </si>
  <si>
    <t>Local scour</t>
  </si>
  <si>
    <t>Long Term Scour</t>
  </si>
  <si>
    <t>N</t>
  </si>
  <si>
    <t>Y</t>
  </si>
  <si>
    <t>Envelope Curve</t>
  </si>
  <si>
    <t>N means the scour component is not included</t>
  </si>
  <si>
    <t xml:space="preserve">Lacey, Blench, Neill </t>
  </si>
  <si>
    <t xml:space="preserve">Competent Velocity </t>
  </si>
  <si>
    <t>Contraction Scour</t>
  </si>
  <si>
    <t>Y**</t>
  </si>
  <si>
    <t xml:space="preserve"> N</t>
  </si>
  <si>
    <r>
      <t>=Z * y</t>
    </r>
    <r>
      <rPr>
        <vertAlign val="subscript"/>
        <sz val="10"/>
        <rFont val="Arial"/>
        <family val="2"/>
      </rPr>
      <t xml:space="preserve">f
</t>
    </r>
    <r>
      <rPr>
        <sz val="10"/>
        <rFont val="Arial"/>
        <family val="2"/>
      </rPr>
      <t>Neill general scour below streambed.</t>
    </r>
  </si>
  <si>
    <t>feet.  Zeller General Scour (greater of 0 or Zeller equation).</t>
  </si>
  <si>
    <r>
      <t>feet.  =Z * y</t>
    </r>
    <r>
      <rPr>
        <vertAlign val="subscript"/>
        <sz val="10"/>
        <rFont val="Arial"/>
        <family val="2"/>
      </rPr>
      <t xml:space="preserve">f0
</t>
    </r>
    <r>
      <rPr>
        <sz val="10"/>
        <rFont val="Arial"/>
        <family val="2"/>
      </rPr>
      <t>Blench general scour below streambed.</t>
    </r>
  </si>
  <si>
    <r>
      <t>feet.  =  y</t>
    </r>
    <r>
      <rPr>
        <vertAlign val="subscript"/>
        <sz val="10"/>
        <rFont val="Arial"/>
        <family val="2"/>
      </rPr>
      <t>mxb</t>
    </r>
    <r>
      <rPr>
        <sz val="10"/>
        <rFont val="Arial"/>
        <family val="2"/>
      </rPr>
      <t xml:space="preserve"> - y</t>
    </r>
    <r>
      <rPr>
        <vertAlign val="subscript"/>
        <sz val="10"/>
        <rFont val="Arial"/>
        <family val="2"/>
      </rPr>
      <t xml:space="preserve">u </t>
    </r>
    <r>
      <rPr>
        <sz val="10"/>
        <rFont val="Arial"/>
        <family val="2"/>
      </rPr>
      <t>= Below thalweg.</t>
    </r>
  </si>
  <si>
    <r>
      <t>feet.  Below minimum channel elevation (no bend scour if nega</t>
    </r>
    <r>
      <rPr>
        <sz val="10"/>
        <rFont val="Arial"/>
        <family val="2"/>
      </rPr>
      <t>tive).</t>
    </r>
  </si>
  <si>
    <t>Yalin, M.S. (1964) Geometrical properties of sandwaves. J. Hydraul. Eng., 90, 105–119.</t>
  </si>
  <si>
    <t>Dune scour as fraction of flow depth (Recommended 0.1 to 0.5, or 0.167 per Yalin (1964)).</t>
  </si>
  <si>
    <t>All rights reserved.</t>
  </si>
  <si>
    <t>1.1 Installation and use.  You may install and use copies of the Software.</t>
  </si>
  <si>
    <t>Recommended degree of bend based on R/T</t>
  </si>
  <si>
    <r>
      <t>feet. = y</t>
    </r>
    <r>
      <rPr>
        <vertAlign val="subscript"/>
        <sz val="10"/>
        <rFont val="Arial"/>
        <family val="2"/>
      </rPr>
      <t>u</t>
    </r>
    <r>
      <rPr>
        <sz val="10"/>
        <rFont val="Arial"/>
        <family val="2"/>
      </rPr>
      <t xml:space="preserve"> * (1.8 - 0.051 (r</t>
    </r>
    <r>
      <rPr>
        <vertAlign val="subscript"/>
        <sz val="10"/>
        <rFont val="Arial"/>
        <family val="2"/>
      </rPr>
      <t>c</t>
    </r>
    <r>
      <rPr>
        <sz val="10"/>
        <rFont val="Arial"/>
        <family val="2"/>
      </rPr>
      <t xml:space="preserve"> / W</t>
    </r>
    <r>
      <rPr>
        <vertAlign val="subscript"/>
        <sz val="10"/>
        <rFont val="Arial"/>
        <family val="2"/>
      </rPr>
      <t>u</t>
    </r>
    <r>
      <rPr>
        <sz val="10"/>
        <rFont val="Arial"/>
        <family val="2"/>
      </rPr>
      <t>) + 0.0084 (W</t>
    </r>
    <r>
      <rPr>
        <vertAlign val="subscript"/>
        <sz val="10"/>
        <rFont val="Arial"/>
        <family val="2"/>
      </rPr>
      <t>u</t>
    </r>
    <r>
      <rPr>
        <sz val="10"/>
        <rFont val="Arial"/>
        <family val="2"/>
      </rPr>
      <t xml:space="preserve"> / y</t>
    </r>
    <r>
      <rPr>
        <vertAlign val="subscript"/>
        <sz val="10"/>
        <rFont val="Arial"/>
        <family val="2"/>
      </rPr>
      <t>u</t>
    </r>
    <r>
      <rPr>
        <sz val="10"/>
        <rFont val="Arial"/>
        <family val="2"/>
      </rPr>
      <t>)).  Maximum water depth in bend.</t>
    </r>
  </si>
  <si>
    <t>feet.  Mean depth (at bankfull).</t>
  </si>
  <si>
    <t xml:space="preserve">PBS&amp;J's Scour Analyses Spreadsheet. © 2006, 2008 PBS&amp;J. </t>
  </si>
  <si>
    <t>Version 1.2</t>
  </si>
  <si>
    <t>PBS&amp;J Scour Spreadsheet Version 1.2 May 28, 2008</t>
  </si>
  <si>
    <t>Cell</t>
  </si>
  <si>
    <t>B16</t>
  </si>
  <si>
    <t>Old Value</t>
  </si>
  <si>
    <t>New Value</t>
  </si>
  <si>
    <t>Sheet</t>
  </si>
  <si>
    <t>EquilibriumSlope</t>
  </si>
  <si>
    <t>B25</t>
  </si>
  <si>
    <t>C16</t>
  </si>
  <si>
    <t>Reason for change</t>
  </si>
  <si>
    <t>Inputs!b11</t>
  </si>
  <si>
    <t>Inputs!b7</t>
  </si>
  <si>
    <t>B30</t>
  </si>
  <si>
    <t>Inputs!b8</t>
  </si>
  <si>
    <t>Bankfull depth used as proxy for hydraulic radius</t>
  </si>
  <si>
    <t>Depth should be bankfull, not design depth</t>
  </si>
  <si>
    <t>C30</t>
  </si>
  <si>
    <t>Bankfull depth is used here as a proxy for hydraulic radius</t>
  </si>
  <si>
    <t>Inputs</t>
  </si>
  <si>
    <t>R11</t>
  </si>
  <si>
    <t>S11</t>
  </si>
  <si>
    <t>T11</t>
  </si>
  <si>
    <t>To show use of bankfull depth in Meyer-Peter Mueller</t>
  </si>
  <si>
    <t>To show use of bankfull depth in Lane's Tractive Force</t>
  </si>
  <si>
    <t>To show use of bankfull depth in Shield's Diagram</t>
  </si>
  <si>
    <t>R7</t>
  </si>
  <si>
    <t>T7</t>
  </si>
  <si>
    <t>S8</t>
  </si>
  <si>
    <t>T8</t>
  </si>
  <si>
    <t>Average depth (design) not used in Meyer-Peter Mueller</t>
  </si>
  <si>
    <t>Average depth (design) not used in Shield's Diagram</t>
  </si>
  <si>
    <t>Hydraulic radius (design) not used in Lane's Tractive Force</t>
  </si>
  <si>
    <t>Hydraulic radius (design) not used in Shield's Diagram</t>
  </si>
  <si>
    <t>Date</t>
  </si>
  <si>
    <t>Design Average / Hydraulic / Mean Depth</t>
  </si>
  <si>
    <t>Design Hydraulic Radius</t>
  </si>
  <si>
    <t>Design Maximum Depth</t>
  </si>
  <si>
    <t>Design Average Velocity</t>
  </si>
  <si>
    <t>A7</t>
  </si>
  <si>
    <t>A8</t>
  </si>
  <si>
    <t>A9</t>
  </si>
  <si>
    <t>A10</t>
  </si>
  <si>
    <t>To clarify that parameter is for design flow</t>
  </si>
  <si>
    <t>`</t>
  </si>
  <si>
    <t>RevisionHistory</t>
  </si>
  <si>
    <t>Tab added to show revisions</t>
  </si>
  <si>
    <t>entire sheet</t>
  </si>
  <si>
    <t>Clarify parameter usage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</si>
</sst>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0000"/>
    <numFmt numFmtId="165" formatCode="0.000E+00"/>
  </numFmts>
  <fonts count="16" x14ac:knownFonts="1">
    <font>
      <sz val="10"/>
      <name val="Arial"/>
    </font>
    <font>
      <sz val="10"/>
      <name val="Arial"/>
      <family val="2"/>
    </font>
    <font>
      <vertAlign val="subscript"/>
      <sz val="10"/>
      <name val="Arial"/>
      <family val="2"/>
    </font>
    <font>
      <vertAlign val="superscript"/>
      <sz val="10"/>
      <name val="Arial"/>
      <family val="2"/>
    </font>
    <font>
      <b/>
      <sz val="10"/>
      <name val="Arial"/>
      <family val="2"/>
    </font>
    <font>
      <b/>
      <vertAlign val="subscript"/>
      <sz val="10"/>
      <name val="Arial"/>
      <family val="2"/>
    </font>
    <font>
      <u/>
      <sz val="10"/>
      <name val="Arial"/>
      <family val="2"/>
    </font>
    <font>
      <sz val="10"/>
      <name val="Arial"/>
      <family val="2"/>
    </font>
    <font>
      <i/>
      <sz val="10"/>
      <name val="Arial"/>
      <family val="2"/>
    </font>
    <font>
      <i/>
      <vertAlign val="subscript"/>
      <sz val="10"/>
      <name val="Arial"/>
      <family val="2"/>
    </font>
    <font>
      <b/>
      <i/>
      <sz val="10"/>
      <name val="Arial"/>
      <family val="2"/>
    </font>
    <font>
      <sz val="10"/>
      <name val="Times"/>
      <family val="1"/>
    </font>
    <font>
      <vertAlign val="subscript"/>
      <sz val="12"/>
      <name val="Arial"/>
      <family val="2"/>
    </font>
    <font>
      <sz val="8"/>
      <name val="Arial"/>
      <family val="2"/>
    </font>
    <font>
      <sz val="10"/>
      <name val="Times New Roman"/>
      <family val="1"/>
    </font>
    <font>
      <b/>
      <sz val="12"/>
      <name val="Times New Roman"/>
      <family val="1"/>
    </font>
  </fonts>
  <fills count="3">
    <fill>
      <patternFill patternType="none"/>
    </fill>
    <fill>
      <patternFill patternType="gray125"/>
    </fill>
    <fill>
      <patternFill patternType="solid">
        <fgColor indexed="42"/>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9">
    <xf numFmtId="0" fontId="0" fillId="0" borderId="0" xfId="0"/>
    <xf numFmtId="0" fontId="0" fillId="0" borderId="0" xfId="0" applyAlignment="1">
      <alignment wrapText="1"/>
    </xf>
    <xf numFmtId="0" fontId="0" fillId="0" borderId="0" xfId="0" quotePrefix="1" applyAlignment="1">
      <alignment wrapText="1"/>
    </xf>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0" fillId="0" borderId="4" xfId="0" quotePrefix="1" applyBorder="1" applyAlignment="1">
      <alignment wrapText="1"/>
    </xf>
    <xf numFmtId="0" fontId="4" fillId="0" borderId="5" xfId="0" applyFont="1" applyBorder="1"/>
    <xf numFmtId="0" fontId="4" fillId="0" borderId="6" xfId="0" applyFont="1" applyBorder="1"/>
    <xf numFmtId="0" fontId="0" fillId="0" borderId="7" xfId="0" applyBorder="1"/>
    <xf numFmtId="0" fontId="1" fillId="0" borderId="3" xfId="0" applyFont="1" applyBorder="1" applyAlignment="1">
      <alignment wrapText="1"/>
    </xf>
    <xf numFmtId="0" fontId="0" fillId="0" borderId="5" xfId="0" applyBorder="1" applyAlignment="1">
      <alignment wrapText="1"/>
    </xf>
    <xf numFmtId="0" fontId="0" fillId="0" borderId="0" xfId="0" applyFill="1" applyBorder="1"/>
    <xf numFmtId="0" fontId="7" fillId="0" borderId="0" xfId="0" applyFont="1"/>
    <xf numFmtId="0" fontId="0" fillId="0" borderId="4" xfId="0" applyFill="1" applyBorder="1"/>
    <xf numFmtId="0" fontId="4" fillId="0" borderId="0" xfId="0" applyFont="1" applyBorder="1"/>
    <xf numFmtId="0" fontId="7" fillId="0" borderId="3" xfId="0" applyFont="1" applyBorder="1"/>
    <xf numFmtId="0" fontId="7" fillId="0" borderId="6" xfId="0" applyFont="1" applyBorder="1"/>
    <xf numFmtId="0" fontId="4" fillId="0" borderId="7" xfId="0" applyFont="1" applyBorder="1"/>
    <xf numFmtId="0" fontId="4" fillId="0" borderId="1" xfId="0" applyFont="1" applyBorder="1"/>
    <xf numFmtId="0" fontId="4" fillId="0" borderId="2" xfId="0" applyFont="1" applyBorder="1"/>
    <xf numFmtId="0" fontId="0" fillId="0" borderId="8" xfId="0" quotePrefix="1" applyBorder="1" applyAlignment="1">
      <alignment wrapText="1"/>
    </xf>
    <xf numFmtId="0" fontId="0" fillId="0" borderId="0" xfId="0" quotePrefix="1" applyBorder="1" applyAlignment="1">
      <alignment wrapText="1"/>
    </xf>
    <xf numFmtId="0" fontId="7" fillId="0" borderId="0" xfId="0" applyFont="1" applyBorder="1"/>
    <xf numFmtId="0" fontId="7" fillId="0" borderId="3" xfId="0" applyFont="1" applyFill="1" applyBorder="1"/>
    <xf numFmtId="0" fontId="0" fillId="0" borderId="4" xfId="0" applyBorder="1" applyAlignment="1">
      <alignment wrapText="1"/>
    </xf>
    <xf numFmtId="0" fontId="0" fillId="0" borderId="0" xfId="0" applyBorder="1" applyAlignment="1">
      <alignment horizontal="right"/>
    </xf>
    <xf numFmtId="0" fontId="0" fillId="0" borderId="6" xfId="0" applyBorder="1" applyAlignment="1">
      <alignment horizontal="right"/>
    </xf>
    <xf numFmtId="0" fontId="0" fillId="0" borderId="3" xfId="0" applyBorder="1" applyAlignment="1">
      <alignment wrapText="1"/>
    </xf>
    <xf numFmtId="0" fontId="0" fillId="0" borderId="4" xfId="0" applyBorder="1" applyAlignment="1">
      <alignment horizontal="right"/>
    </xf>
    <xf numFmtId="0" fontId="0" fillId="0" borderId="8" xfId="0" applyBorder="1" applyAlignment="1">
      <alignment horizontal="right"/>
    </xf>
    <xf numFmtId="0" fontId="0" fillId="0" borderId="8" xfId="0" applyFill="1" applyBorder="1" applyAlignment="1">
      <alignment wrapText="1"/>
    </xf>
    <xf numFmtId="0" fontId="0" fillId="0" borderId="9" xfId="0" applyBorder="1"/>
    <xf numFmtId="0" fontId="0" fillId="0" borderId="10" xfId="0" applyBorder="1"/>
    <xf numFmtId="0" fontId="0" fillId="0" borderId="11" xfId="0" applyBorder="1"/>
    <xf numFmtId="0" fontId="7" fillId="0" borderId="0" xfId="0" applyFont="1" applyBorder="1" applyAlignment="1">
      <alignment horizontal="right"/>
    </xf>
    <xf numFmtId="0" fontId="4" fillId="0" borderId="0" xfId="0" applyFont="1"/>
    <xf numFmtId="0" fontId="4" fillId="0" borderId="0" xfId="0" applyFont="1" applyAlignment="1">
      <alignment wrapText="1"/>
    </xf>
    <xf numFmtId="0" fontId="0" fillId="0" borderId="0" xfId="0" applyAlignment="1">
      <alignment horizontal="right"/>
    </xf>
    <xf numFmtId="0" fontId="7" fillId="0" borderId="0" xfId="0" applyFont="1" applyAlignment="1">
      <alignment wrapText="1"/>
    </xf>
    <xf numFmtId="0" fontId="1" fillId="0" borderId="0" xfId="0" applyFont="1" applyFill="1" applyBorder="1"/>
    <xf numFmtId="1" fontId="0" fillId="0" borderId="0" xfId="0" applyNumberFormat="1"/>
    <xf numFmtId="164" fontId="0" fillId="0" borderId="0" xfId="0" applyNumberFormat="1"/>
    <xf numFmtId="0" fontId="0" fillId="0" borderId="2" xfId="0" applyBorder="1" applyAlignment="1">
      <alignment wrapText="1"/>
    </xf>
    <xf numFmtId="0" fontId="0" fillId="0" borderId="8" xfId="0" applyBorder="1" applyAlignment="1">
      <alignment wrapText="1"/>
    </xf>
    <xf numFmtId="0" fontId="0" fillId="0" borderId="5" xfId="0" applyBorder="1"/>
    <xf numFmtId="0" fontId="0" fillId="0" borderId="8" xfId="0" applyBorder="1"/>
    <xf numFmtId="0" fontId="7" fillId="0" borderId="1" xfId="0" applyFont="1" applyBorder="1"/>
    <xf numFmtId="0" fontId="7" fillId="0" borderId="2" xfId="0" applyFont="1" applyBorder="1"/>
    <xf numFmtId="0" fontId="4" fillId="0" borderId="7" xfId="0" applyFont="1" applyFill="1" applyBorder="1"/>
    <xf numFmtId="0" fontId="4" fillId="0" borderId="7" xfId="0" applyFont="1" applyBorder="1" applyAlignment="1">
      <alignment wrapText="1"/>
    </xf>
    <xf numFmtId="0" fontId="0" fillId="0" borderId="6" xfId="0" applyBorder="1"/>
    <xf numFmtId="0" fontId="1" fillId="0" borderId="0" xfId="0" applyFont="1" applyAlignment="1">
      <alignment wrapText="1"/>
    </xf>
    <xf numFmtId="0" fontId="0" fillId="0" borderId="0" xfId="0" applyBorder="1" applyAlignment="1">
      <alignment wrapText="1"/>
    </xf>
    <xf numFmtId="0" fontId="0" fillId="0" borderId="4" xfId="0" applyFill="1" applyBorder="1" applyAlignment="1">
      <alignment wrapText="1"/>
    </xf>
    <xf numFmtId="0" fontId="1" fillId="0" borderId="6" xfId="0" applyFont="1" applyFill="1" applyBorder="1"/>
    <xf numFmtId="0" fontId="0" fillId="0" borderId="3" xfId="0" applyFill="1" applyBorder="1"/>
    <xf numFmtId="0" fontId="0" fillId="0" borderId="5" xfId="0" applyFill="1" applyBorder="1"/>
    <xf numFmtId="0" fontId="4" fillId="0" borderId="5" xfId="0" applyFont="1" applyFill="1" applyBorder="1"/>
    <xf numFmtId="0" fontId="4" fillId="0" borderId="0" xfId="0" applyFont="1" applyFill="1" applyBorder="1"/>
    <xf numFmtId="0" fontId="0" fillId="0" borderId="3" xfId="0" applyFill="1" applyBorder="1" applyAlignment="1">
      <alignment wrapText="1"/>
    </xf>
    <xf numFmtId="0" fontId="7" fillId="0" borderId="0" xfId="0" applyFont="1" applyFill="1" applyBorder="1"/>
    <xf numFmtId="164" fontId="0" fillId="0" borderId="0" xfId="0" applyNumberFormat="1" applyAlignment="1">
      <alignment wrapText="1"/>
    </xf>
    <xf numFmtId="0" fontId="0" fillId="0" borderId="8" xfId="0" quotePrefix="1" applyBorder="1"/>
    <xf numFmtId="0" fontId="0" fillId="0" borderId="1" xfId="0" applyBorder="1" applyAlignment="1">
      <alignment horizontal="right"/>
    </xf>
    <xf numFmtId="0" fontId="0" fillId="0" borderId="0" xfId="0" applyNumberFormat="1"/>
    <xf numFmtId="165" fontId="0" fillId="0" borderId="0" xfId="0" applyNumberFormat="1"/>
    <xf numFmtId="1" fontId="4" fillId="0" borderId="0" xfId="0" applyNumberFormat="1" applyFont="1"/>
    <xf numFmtId="164" fontId="4" fillId="0" borderId="0" xfId="0" applyNumberFormat="1" applyFont="1"/>
    <xf numFmtId="0" fontId="0" fillId="0" borderId="4" xfId="0" quotePrefix="1" applyBorder="1"/>
    <xf numFmtId="0" fontId="8" fillId="0" borderId="3" xfId="0" applyFont="1" applyBorder="1"/>
    <xf numFmtId="0" fontId="4" fillId="0" borderId="3" xfId="0" applyFont="1" applyFill="1" applyBorder="1"/>
    <xf numFmtId="0" fontId="7" fillId="0" borderId="4" xfId="0" applyFont="1" applyBorder="1"/>
    <xf numFmtId="0" fontId="4" fillId="0" borderId="4" xfId="0" applyFont="1" applyBorder="1"/>
    <xf numFmtId="0" fontId="7" fillId="0" borderId="0" xfId="0" applyFont="1" applyBorder="1" applyAlignment="1">
      <alignment wrapText="1"/>
    </xf>
    <xf numFmtId="0" fontId="0" fillId="0" borderId="1" xfId="0" applyBorder="1" applyAlignment="1">
      <alignment wrapText="1"/>
    </xf>
    <xf numFmtId="0" fontId="0" fillId="0" borderId="4" xfId="0" applyBorder="1" applyAlignment="1">
      <alignment horizontal="left"/>
    </xf>
    <xf numFmtId="0" fontId="7" fillId="0" borderId="4" xfId="0" applyFont="1" applyBorder="1" applyAlignment="1">
      <alignment horizontal="left"/>
    </xf>
    <xf numFmtId="0" fontId="7" fillId="0" borderId="4" xfId="0" applyFont="1" applyFill="1" applyBorder="1" applyAlignment="1">
      <alignment horizontal="left"/>
    </xf>
    <xf numFmtId="0" fontId="7" fillId="0" borderId="8" xfId="0" applyFont="1" applyFill="1" applyBorder="1" applyAlignment="1">
      <alignment horizontal="left"/>
    </xf>
    <xf numFmtId="0" fontId="8" fillId="0" borderId="3" xfId="0" applyFont="1" applyFill="1" applyBorder="1"/>
    <xf numFmtId="0" fontId="8" fillId="0" borderId="0" xfId="0" applyFont="1" applyFill="1"/>
    <xf numFmtId="0" fontId="8" fillId="0" borderId="3" xfId="0" applyFont="1" applyBorder="1" applyAlignment="1">
      <alignment wrapText="1"/>
    </xf>
    <xf numFmtId="0" fontId="0" fillId="0" borderId="0" xfId="0" applyAlignment="1">
      <alignment textRotation="90" wrapText="1"/>
    </xf>
    <xf numFmtId="0" fontId="7" fillId="0" borderId="0" xfId="0" applyFont="1" applyBorder="1" applyAlignment="1">
      <alignment textRotation="90"/>
    </xf>
    <xf numFmtId="0" fontId="1" fillId="0" borderId="0" xfId="0" applyFont="1" applyFill="1" applyAlignment="1">
      <alignment horizontal="right"/>
    </xf>
    <xf numFmtId="0" fontId="4" fillId="0" borderId="3" xfId="0" applyFont="1" applyBorder="1"/>
    <xf numFmtId="0" fontId="8" fillId="0" borderId="4" xfId="0" applyFont="1" applyBorder="1"/>
    <xf numFmtId="0" fontId="7" fillId="0" borderId="8" xfId="0" applyFont="1" applyBorder="1" applyAlignment="1">
      <alignment wrapText="1"/>
    </xf>
    <xf numFmtId="0" fontId="8" fillId="0" borderId="7" xfId="0" applyFont="1" applyBorder="1"/>
    <xf numFmtId="0" fontId="0" fillId="0" borderId="0" xfId="0" applyBorder="1" applyAlignment="1">
      <alignment horizontal="left"/>
    </xf>
    <xf numFmtId="0" fontId="0" fillId="0" borderId="7" xfId="0" applyBorder="1" applyAlignment="1">
      <alignment wrapText="1"/>
    </xf>
    <xf numFmtId="0" fontId="0" fillId="0" borderId="6" xfId="0" applyFill="1" applyBorder="1"/>
    <xf numFmtId="1" fontId="7" fillId="0" borderId="0" xfId="0" applyNumberFormat="1" applyFont="1"/>
    <xf numFmtId="164" fontId="7" fillId="0" borderId="0" xfId="0" applyNumberFormat="1" applyFont="1"/>
    <xf numFmtId="0" fontId="11" fillId="0" borderId="3" xfId="0" applyFont="1" applyBorder="1"/>
    <xf numFmtId="0" fontId="11" fillId="0" borderId="3" xfId="0" applyFont="1" applyFill="1" applyBorder="1"/>
    <xf numFmtId="0" fontId="14" fillId="0" borderId="0" xfId="0" applyFont="1" applyAlignment="1">
      <alignment wrapText="1"/>
    </xf>
    <xf numFmtId="0" fontId="15" fillId="0" borderId="0" xfId="0" applyFont="1" applyAlignment="1">
      <alignment wrapText="1"/>
    </xf>
    <xf numFmtId="0" fontId="0" fillId="0" borderId="1" xfId="0" applyFill="1" applyBorder="1" applyAlignment="1">
      <alignment horizontal="right"/>
    </xf>
    <xf numFmtId="0" fontId="8" fillId="0" borderId="0" xfId="0" applyFont="1"/>
    <xf numFmtId="0" fontId="0" fillId="2" borderId="0" xfId="0" applyFill="1" applyAlignment="1" applyProtection="1">
      <alignment horizontal="right"/>
      <protection locked="0"/>
    </xf>
    <xf numFmtId="0" fontId="0" fillId="2" borderId="0" xfId="0" applyFill="1" applyBorder="1" applyAlignment="1" applyProtection="1">
      <alignment horizontal="right"/>
      <protection locked="0"/>
    </xf>
    <xf numFmtId="0" fontId="0" fillId="2" borderId="6" xfId="0" applyFill="1" applyBorder="1" applyAlignment="1" applyProtection="1">
      <alignment horizontal="right"/>
      <protection locked="0"/>
    </xf>
    <xf numFmtId="0" fontId="0" fillId="0" borderId="0" xfId="0" applyAlignment="1">
      <alignment horizontal="center"/>
    </xf>
    <xf numFmtId="2" fontId="0" fillId="0" borderId="0" xfId="0" applyNumberFormat="1" applyBorder="1"/>
    <xf numFmtId="2" fontId="4" fillId="0" borderId="6" xfId="0" applyNumberFormat="1" applyFont="1" applyBorder="1"/>
    <xf numFmtId="2" fontId="4" fillId="0" borderId="0" xfId="0" applyNumberFormat="1" applyFont="1" applyFill="1" applyBorder="1"/>
    <xf numFmtId="2" fontId="4" fillId="0" borderId="0" xfId="0" applyNumberFormat="1" applyFont="1" applyBorder="1"/>
    <xf numFmtId="2" fontId="10" fillId="0" borderId="6" xfId="0" applyNumberFormat="1" applyFont="1" applyBorder="1"/>
    <xf numFmtId="14" fontId="0" fillId="0" borderId="0" xfId="0" applyNumberFormat="1"/>
    <xf numFmtId="0" fontId="7" fillId="2" borderId="0" xfId="0" applyFont="1" applyFill="1" applyAlignment="1" applyProtection="1">
      <alignment horizontal="right"/>
      <protection locked="0"/>
    </xf>
    <xf numFmtId="0" fontId="0" fillId="0" borderId="0" xfId="0" applyBorder="1" applyAlignment="1">
      <alignment horizontal="center"/>
    </xf>
    <xf numFmtId="0" fontId="0" fillId="0" borderId="0" xfId="0" applyAlignment="1">
      <alignment horizontal="center"/>
    </xf>
    <xf numFmtId="0" fontId="0" fillId="0" borderId="0" xfId="0" applyAlignment="1">
      <alignment horizontal="center" wrapText="1"/>
    </xf>
    <xf numFmtId="0" fontId="0" fillId="0" borderId="4" xfId="0" applyBorder="1" applyAlignment="1">
      <alignment horizontal="center"/>
    </xf>
    <xf numFmtId="0" fontId="0" fillId="0" borderId="8" xfId="0" applyBorder="1" applyAlignment="1">
      <alignment horizontal="center"/>
    </xf>
  </cellXfs>
  <cellStyles count="1">
    <cellStyle name="Normal" xfId="0" builtinId="0"/>
  </cellStyles>
  <dxfs count="2">
    <dxf>
      <fill>
        <patternFill>
          <bgColor indexed="47"/>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57</xdr:row>
      <xdr:rowOff>0</xdr:rowOff>
    </xdr:from>
    <xdr:to>
      <xdr:col>20</xdr:col>
      <xdr:colOff>428625</xdr:colOff>
      <xdr:row>125</xdr:row>
      <xdr:rowOff>57150</xdr:rowOff>
    </xdr:to>
    <xdr:pic>
      <xdr:nvPicPr>
        <xdr:cNvPr id="1027"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229725"/>
          <a:ext cx="15173325" cy="110680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533400</xdr:colOff>
      <xdr:row>0</xdr:row>
      <xdr:rowOff>57150</xdr:rowOff>
    </xdr:from>
    <xdr:to>
      <xdr:col>9</xdr:col>
      <xdr:colOff>381000</xdr:colOff>
      <xdr:row>31</xdr:row>
      <xdr:rowOff>66675</xdr:rowOff>
    </xdr:to>
    <xdr:pic>
      <xdr:nvPicPr>
        <xdr:cNvPr id="9217"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643"/>
        <a:stretch>
          <a:fillRect/>
        </a:stretch>
      </xdr:blipFill>
      <xdr:spPr bwMode="auto">
        <a:xfrm>
          <a:off x="533400" y="57150"/>
          <a:ext cx="5334000" cy="502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15</xdr:col>
      <xdr:colOff>9525</xdr:colOff>
      <xdr:row>120</xdr:row>
      <xdr:rowOff>152400</xdr:rowOff>
    </xdr:to>
    <xdr:pic>
      <xdr:nvPicPr>
        <xdr:cNvPr id="3079"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3150"/>
          <a:ext cx="12211050" cy="13754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23</xdr:col>
      <xdr:colOff>514350</xdr:colOff>
      <xdr:row>87</xdr:row>
      <xdr:rowOff>66675</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90825"/>
          <a:ext cx="14725650" cy="114014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333375</xdr:colOff>
      <xdr:row>82</xdr:row>
      <xdr:rowOff>123825</xdr:rowOff>
    </xdr:to>
    <xdr:pic>
      <xdr:nvPicPr>
        <xdr:cNvPr id="716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25375" cy="134016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571500</xdr:colOff>
      <xdr:row>63</xdr:row>
      <xdr:rowOff>19050</xdr:rowOff>
    </xdr:to>
    <xdr:pic>
      <xdr:nvPicPr>
        <xdr:cNvPr id="614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421100" cy="102203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defaultRowHeight="12.75" x14ac:dyDescent="0.2"/>
  <cols>
    <col min="1" max="1" width="89.5703125" customWidth="1"/>
  </cols>
  <sheetData>
    <row r="1" spans="1:1" s="1" customFormat="1" ht="15.75" x14ac:dyDescent="0.25">
      <c r="A1" s="100" t="s">
        <v>436</v>
      </c>
    </row>
    <row r="2" spans="1:1" s="1" customFormat="1" ht="15.75" x14ac:dyDescent="0.25">
      <c r="A2" s="100" t="s">
        <v>437</v>
      </c>
    </row>
    <row r="3" spans="1:1" s="1" customFormat="1" x14ac:dyDescent="0.2">
      <c r="A3" s="99"/>
    </row>
    <row r="4" spans="1:1" s="1" customFormat="1" x14ac:dyDescent="0.2">
      <c r="A4" s="99" t="s">
        <v>431</v>
      </c>
    </row>
    <row r="5" spans="1:1" s="1" customFormat="1" x14ac:dyDescent="0.2"/>
    <row r="6" spans="1:1" s="1" customFormat="1" x14ac:dyDescent="0.2">
      <c r="A6" s="99" t="s">
        <v>387</v>
      </c>
    </row>
    <row r="7" spans="1:1" s="1" customFormat="1" x14ac:dyDescent="0.2"/>
    <row r="8" spans="1:1" s="1" customFormat="1" ht="63.75" x14ac:dyDescent="0.2">
      <c r="A8" s="99" t="s">
        <v>388</v>
      </c>
    </row>
    <row r="9" spans="1:1" s="1" customFormat="1" x14ac:dyDescent="0.2"/>
    <row r="10" spans="1:1" s="1" customFormat="1" ht="25.5" x14ac:dyDescent="0.2">
      <c r="A10" s="99" t="s">
        <v>389</v>
      </c>
    </row>
    <row r="11" spans="1:1" s="1" customFormat="1" x14ac:dyDescent="0.2"/>
    <row r="12" spans="1:1" s="1" customFormat="1" x14ac:dyDescent="0.2">
      <c r="A12" s="99" t="s">
        <v>432</v>
      </c>
    </row>
    <row r="13" spans="1:1" s="1" customFormat="1" x14ac:dyDescent="0.2"/>
    <row r="14" spans="1:1" s="1" customFormat="1" ht="63.75" x14ac:dyDescent="0.2">
      <c r="A14" s="99" t="s">
        <v>390</v>
      </c>
    </row>
    <row r="15" spans="1:1" s="1" customFormat="1" x14ac:dyDescent="0.2"/>
    <row r="16" spans="1:1" s="1" customFormat="1" ht="25.5" x14ac:dyDescent="0.2">
      <c r="A16" s="99" t="s">
        <v>391</v>
      </c>
    </row>
    <row r="17" spans="1:1" s="1" customFormat="1" x14ac:dyDescent="0.2"/>
    <row r="18" spans="1:1" s="1" customFormat="1" ht="51" x14ac:dyDescent="0.2">
      <c r="A18" s="99" t="s">
        <v>392</v>
      </c>
    </row>
    <row r="19" spans="1:1" s="1" customFormat="1" x14ac:dyDescent="0.2"/>
    <row r="20" spans="1:1" s="1" customFormat="1" ht="51" x14ac:dyDescent="0.2">
      <c r="A20" s="99" t="s">
        <v>393</v>
      </c>
    </row>
    <row r="21" spans="1:1" s="1" customFormat="1" x14ac:dyDescent="0.2"/>
    <row r="22" spans="1:1" s="1" customFormat="1" ht="38.25" x14ac:dyDescent="0.2">
      <c r="A22" s="99" t="s">
        <v>394</v>
      </c>
    </row>
    <row r="23" spans="1:1" s="1" customFormat="1" x14ac:dyDescent="0.2"/>
    <row r="24" spans="1:1" s="1" customFormat="1" ht="153" x14ac:dyDescent="0.2">
      <c r="A24" s="99" t="s">
        <v>395</v>
      </c>
    </row>
    <row r="25" spans="1:1" s="1" customFormat="1" x14ac:dyDescent="0.2"/>
    <row r="26" spans="1:1" s="1" customFormat="1" ht="63.75" x14ac:dyDescent="0.2">
      <c r="A26" s="99" t="s">
        <v>396</v>
      </c>
    </row>
    <row r="27" spans="1:1" s="1" customFormat="1" x14ac:dyDescent="0.2"/>
    <row r="28" spans="1:1" s="1" customFormat="1" ht="76.5" x14ac:dyDescent="0.2">
      <c r="A28" s="99" t="s">
        <v>397</v>
      </c>
    </row>
    <row r="29" spans="1:1" s="1" customFormat="1" x14ac:dyDescent="0.2"/>
    <row r="30" spans="1:1" s="1" customFormat="1" x14ac:dyDescent="0.2">
      <c r="A30" s="99" t="s">
        <v>398</v>
      </c>
    </row>
    <row r="31" spans="1:1" s="1" customFormat="1" x14ac:dyDescent="0.2"/>
    <row r="32" spans="1:1" s="1" customFormat="1" ht="63.75" x14ac:dyDescent="0.2">
      <c r="A32" s="99" t="s">
        <v>399</v>
      </c>
    </row>
    <row r="33" spans="1:1" s="1" customFormat="1" x14ac:dyDescent="0.2">
      <c r="A33"/>
    </row>
  </sheetData>
  <sheetProtection password="E1DD" sheet="1" objects="1" scenarios="1"/>
  <phoneticPr fontId="13"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heetViews>
  <sheetFormatPr defaultRowHeight="12.75" x14ac:dyDescent="0.2"/>
  <cols>
    <col min="1" max="1" width="13.140625" bestFit="1" customWidth="1"/>
    <col min="2" max="2" width="19" customWidth="1"/>
    <col min="3" max="3" width="14.5703125" customWidth="1"/>
  </cols>
  <sheetData>
    <row r="1" spans="1:3" ht="27" x14ac:dyDescent="0.2">
      <c r="A1" t="s">
        <v>212</v>
      </c>
      <c r="B1" s="1" t="s">
        <v>213</v>
      </c>
      <c r="C1" s="1" t="s">
        <v>214</v>
      </c>
    </row>
    <row r="2" spans="1:3" x14ac:dyDescent="0.2">
      <c r="A2">
        <v>32</v>
      </c>
      <c r="B2" s="68">
        <v>3.7459999999999997E-5</v>
      </c>
      <c r="C2" s="68">
        <v>1.931E-5</v>
      </c>
    </row>
    <row r="3" spans="1:3" x14ac:dyDescent="0.2">
      <c r="A3">
        <v>40</v>
      </c>
      <c r="B3" s="68">
        <v>3.2289999999999997E-5</v>
      </c>
      <c r="C3" s="68">
        <v>1.664E-5</v>
      </c>
    </row>
    <row r="4" spans="1:3" x14ac:dyDescent="0.2">
      <c r="A4">
        <v>50</v>
      </c>
      <c r="B4" s="68">
        <v>2.7350000000000001E-5</v>
      </c>
      <c r="C4" s="68">
        <v>1.4100000000000001E-5</v>
      </c>
    </row>
    <row r="5" spans="1:3" x14ac:dyDescent="0.2">
      <c r="A5">
        <v>60</v>
      </c>
      <c r="B5" s="68">
        <v>2.3589999999999999E-5</v>
      </c>
      <c r="C5" s="68">
        <v>1.217E-5</v>
      </c>
    </row>
    <row r="6" spans="1:3" x14ac:dyDescent="0.2">
      <c r="A6">
        <v>70</v>
      </c>
      <c r="B6" s="68">
        <v>2.05E-5</v>
      </c>
      <c r="C6" s="68">
        <v>1.059E-5</v>
      </c>
    </row>
    <row r="7" spans="1:3" x14ac:dyDescent="0.2">
      <c r="A7">
        <v>80</v>
      </c>
      <c r="B7" s="68">
        <v>1.7989999999999999E-5</v>
      </c>
      <c r="C7" s="68">
        <v>9.3000000000000007E-6</v>
      </c>
    </row>
    <row r="8" spans="1:3" x14ac:dyDescent="0.2">
      <c r="A8">
        <v>90</v>
      </c>
      <c r="B8" s="68">
        <v>1.5959000000000001E-5</v>
      </c>
      <c r="C8" s="68">
        <v>8.2600000000000005E-6</v>
      </c>
    </row>
    <row r="11" spans="1:3" x14ac:dyDescent="0.2">
      <c r="A11" t="s">
        <v>215</v>
      </c>
    </row>
    <row r="17" spans="2:2" x14ac:dyDescent="0.2">
      <c r="B17" s="68"/>
    </row>
  </sheetData>
  <sheetProtection password="E1DD" sheet="1" objects="1" scenarios="1"/>
  <phoneticPr fontId="0"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topLeftCell="A37" workbookViewId="0">
      <selection activeCell="C38" sqref="C38"/>
    </sheetView>
  </sheetViews>
  <sheetFormatPr defaultRowHeight="12.75" x14ac:dyDescent="0.2"/>
  <cols>
    <col min="1" max="1" width="14.85546875" style="43" customWidth="1"/>
    <col min="2" max="3" width="19.7109375" style="44" customWidth="1"/>
    <col min="4" max="4" width="12.28515625" customWidth="1"/>
    <col min="5" max="5" width="11.28515625" customWidth="1"/>
    <col min="11" max="11" width="15.28515625" customWidth="1"/>
  </cols>
  <sheetData>
    <row r="1" spans="1:8" x14ac:dyDescent="0.2">
      <c r="A1" s="43" t="s">
        <v>75</v>
      </c>
      <c r="B1" s="44" t="s">
        <v>76</v>
      </c>
      <c r="C1" s="44" t="s">
        <v>77</v>
      </c>
      <c r="D1" s="1" t="s">
        <v>198</v>
      </c>
      <c r="E1" t="s">
        <v>199</v>
      </c>
      <c r="F1" t="s">
        <v>200</v>
      </c>
      <c r="G1" t="s">
        <v>201</v>
      </c>
      <c r="H1" t="s">
        <v>217</v>
      </c>
    </row>
    <row r="2" spans="1:8" x14ac:dyDescent="0.2">
      <c r="A2" s="43">
        <v>0</v>
      </c>
      <c r="B2" s="44">
        <v>10016.5279298</v>
      </c>
      <c r="C2" s="44">
        <v>30582.919569400001</v>
      </c>
      <c r="D2">
        <f>(B2-10000)/10000</f>
        <v>1.6527929800000494E-3</v>
      </c>
      <c r="E2">
        <f>(C2-10000)/10000-3</f>
        <v>-0.94170804305999978</v>
      </c>
      <c r="F2">
        <f>10^D2</f>
        <v>1.0038129473356634</v>
      </c>
      <c r="G2">
        <f>10^E2</f>
        <v>0.1143646899569354</v>
      </c>
    </row>
    <row r="3" spans="1:8" x14ac:dyDescent="0.2">
      <c r="A3" s="43">
        <v>0</v>
      </c>
      <c r="B3" s="44">
        <v>10544.4826514</v>
      </c>
      <c r="C3" s="44">
        <v>30076.083036600001</v>
      </c>
      <c r="D3">
        <f t="shared" ref="D3:D47" si="0">(B3-10000)/10000</f>
        <v>5.4448265139999966E-2</v>
      </c>
      <c r="E3">
        <f t="shared" ref="E3:E47" si="1">(C3-10000)/10000-3</f>
        <v>-0.99239169633999991</v>
      </c>
      <c r="F3">
        <f t="shared" ref="F3:G48" si="2">10^D3</f>
        <v>1.133569794787497</v>
      </c>
      <c r="G3">
        <f t="shared" si="2"/>
        <v>0.10176731202262565</v>
      </c>
      <c r="H3" t="b">
        <f>G3&gt;G2</f>
        <v>0</v>
      </c>
    </row>
    <row r="4" spans="1:8" x14ac:dyDescent="0.2">
      <c r="A4" s="43">
        <v>0</v>
      </c>
      <c r="B4" s="44">
        <v>11185.067713599999</v>
      </c>
      <c r="C4" s="44">
        <v>29456.616163300001</v>
      </c>
      <c r="D4">
        <f t="shared" si="0"/>
        <v>0.11850677135999994</v>
      </c>
      <c r="E4">
        <f t="shared" si="1"/>
        <v>-1.05433838367</v>
      </c>
      <c r="F4">
        <f t="shared" si="2"/>
        <v>1.3137319780267103</v>
      </c>
      <c r="G4">
        <f t="shared" si="2"/>
        <v>8.8239211034413761E-2</v>
      </c>
      <c r="H4" t="b">
        <f t="shared" ref="H4:H48" si="3">G4&gt;G3</f>
        <v>0</v>
      </c>
    </row>
    <row r="5" spans="1:8" x14ac:dyDescent="0.2">
      <c r="A5" s="43">
        <v>0</v>
      </c>
      <c r="B5" s="44">
        <v>11628.5496798</v>
      </c>
      <c r="C5" s="44">
        <v>29020.173593399999</v>
      </c>
      <c r="D5">
        <f t="shared" si="0"/>
        <v>0.16285496798000004</v>
      </c>
      <c r="E5">
        <f t="shared" si="1"/>
        <v>-1.0979826406600002</v>
      </c>
      <c r="F5">
        <f t="shared" si="2"/>
        <v>1.4549731132558645</v>
      </c>
      <c r="G5">
        <f t="shared" si="2"/>
        <v>7.9802658483640071E-2</v>
      </c>
      <c r="H5" t="b">
        <f t="shared" si="3"/>
        <v>0</v>
      </c>
    </row>
    <row r="6" spans="1:8" x14ac:dyDescent="0.2">
      <c r="A6" s="43">
        <v>0</v>
      </c>
      <c r="B6" s="44">
        <v>12135.3862125</v>
      </c>
      <c r="C6" s="44">
        <v>28569.652231</v>
      </c>
      <c r="D6">
        <f t="shared" si="0"/>
        <v>0.21353862124999995</v>
      </c>
      <c r="E6">
        <f t="shared" si="1"/>
        <v>-1.1430347769</v>
      </c>
      <c r="F6">
        <f t="shared" si="2"/>
        <v>1.6350785500982652</v>
      </c>
      <c r="G6">
        <f t="shared" si="2"/>
        <v>7.1939136915886284E-2</v>
      </c>
      <c r="H6" t="b">
        <f t="shared" si="3"/>
        <v>0</v>
      </c>
    </row>
    <row r="7" spans="1:8" x14ac:dyDescent="0.2">
      <c r="A7" s="43">
        <v>0</v>
      </c>
      <c r="B7" s="44">
        <v>12895.641011600001</v>
      </c>
      <c r="C7" s="44">
        <v>27936.106564999998</v>
      </c>
      <c r="D7">
        <f t="shared" si="0"/>
        <v>0.28956410116000009</v>
      </c>
      <c r="E7">
        <f t="shared" si="1"/>
        <v>-1.2063893435000002</v>
      </c>
      <c r="F7">
        <f t="shared" si="2"/>
        <v>1.9478885339089973</v>
      </c>
      <c r="G7">
        <f t="shared" si="2"/>
        <v>6.217426451157277E-2</v>
      </c>
      <c r="H7" t="b">
        <f t="shared" si="3"/>
        <v>0</v>
      </c>
    </row>
    <row r="8" spans="1:8" x14ac:dyDescent="0.2">
      <c r="A8" s="43">
        <v>0</v>
      </c>
      <c r="B8" s="44">
        <v>13430.6351295</v>
      </c>
      <c r="C8" s="44">
        <v>27527.821580299998</v>
      </c>
      <c r="D8">
        <f t="shared" si="0"/>
        <v>0.34306351295000004</v>
      </c>
      <c r="E8">
        <f t="shared" si="1"/>
        <v>-1.2472178419700002</v>
      </c>
      <c r="F8">
        <f t="shared" si="2"/>
        <v>2.2032486513276499</v>
      </c>
      <c r="G8">
        <f t="shared" si="2"/>
        <v>5.6595533481779856E-2</v>
      </c>
      <c r="H8" t="b">
        <f t="shared" si="3"/>
        <v>0</v>
      </c>
    </row>
    <row r="9" spans="1:8" x14ac:dyDescent="0.2">
      <c r="A9" s="43">
        <v>0</v>
      </c>
      <c r="B9" s="44">
        <v>13937.4716623</v>
      </c>
      <c r="C9" s="44">
        <v>27175.851765899999</v>
      </c>
      <c r="D9">
        <f t="shared" si="0"/>
        <v>0.39374716623000006</v>
      </c>
      <c r="E9">
        <f t="shared" si="1"/>
        <v>-1.2824148234100001</v>
      </c>
      <c r="F9">
        <f t="shared" si="2"/>
        <v>2.4759801934348236</v>
      </c>
      <c r="G9">
        <f t="shared" si="2"/>
        <v>5.2189745204259119E-2</v>
      </c>
      <c r="H9" t="b">
        <f t="shared" si="3"/>
        <v>0</v>
      </c>
    </row>
    <row r="10" spans="1:8" x14ac:dyDescent="0.2">
      <c r="A10" s="43">
        <v>0</v>
      </c>
      <c r="B10" s="44">
        <v>14500.6233653</v>
      </c>
      <c r="C10" s="44">
        <v>26816.842555200001</v>
      </c>
      <c r="D10">
        <f t="shared" si="0"/>
        <v>0.45006233653</v>
      </c>
      <c r="E10">
        <f t="shared" si="1"/>
        <v>-1.31831574448</v>
      </c>
      <c r="F10">
        <f t="shared" si="2"/>
        <v>2.8187874973567926</v>
      </c>
      <c r="G10">
        <f t="shared" si="2"/>
        <v>4.8048989157164518E-2</v>
      </c>
      <c r="H10" t="b">
        <f t="shared" si="3"/>
        <v>0</v>
      </c>
    </row>
    <row r="11" spans="1:8" x14ac:dyDescent="0.2">
      <c r="A11" s="43">
        <v>0</v>
      </c>
      <c r="B11" s="44">
        <v>15049.696275800001</v>
      </c>
      <c r="C11" s="44">
        <v>26500.069722200002</v>
      </c>
      <c r="D11">
        <f t="shared" si="0"/>
        <v>0.50496962758000008</v>
      </c>
      <c r="E11">
        <f t="shared" si="1"/>
        <v>-1.3499930277799999</v>
      </c>
      <c r="F11">
        <f t="shared" si="2"/>
        <v>3.1986714025236771</v>
      </c>
      <c r="G11">
        <f t="shared" si="2"/>
        <v>4.4669076332491092E-2</v>
      </c>
      <c r="H11" t="b">
        <f t="shared" si="3"/>
        <v>0</v>
      </c>
    </row>
    <row r="12" spans="1:8" x14ac:dyDescent="0.2">
      <c r="A12" s="43">
        <v>0</v>
      </c>
      <c r="B12" s="44">
        <v>15542.454016</v>
      </c>
      <c r="C12" s="44">
        <v>26225.533266999999</v>
      </c>
      <c r="D12">
        <f t="shared" si="0"/>
        <v>0.55424540160000002</v>
      </c>
      <c r="E12">
        <f t="shared" si="1"/>
        <v>-1.3774466733000001</v>
      </c>
      <c r="F12">
        <f t="shared" si="2"/>
        <v>3.5829883956199704</v>
      </c>
      <c r="G12">
        <f t="shared" si="2"/>
        <v>4.1932748243673566E-2</v>
      </c>
      <c r="H12" t="b">
        <f t="shared" si="3"/>
        <v>0</v>
      </c>
    </row>
    <row r="13" spans="1:8" x14ac:dyDescent="0.2">
      <c r="A13" s="43">
        <v>0</v>
      </c>
      <c r="B13" s="44">
        <v>16133.7633042</v>
      </c>
      <c r="C13" s="44">
        <v>25929.8786229</v>
      </c>
      <c r="D13">
        <f t="shared" si="0"/>
        <v>0.61337633041999995</v>
      </c>
      <c r="E13">
        <f t="shared" si="1"/>
        <v>-1.40701213771</v>
      </c>
      <c r="F13">
        <f t="shared" si="2"/>
        <v>4.105597123540881</v>
      </c>
      <c r="G13">
        <f t="shared" si="2"/>
        <v>3.9173092881566007E-2</v>
      </c>
      <c r="H13" t="b">
        <f t="shared" si="3"/>
        <v>0</v>
      </c>
    </row>
    <row r="14" spans="1:8" x14ac:dyDescent="0.2">
      <c r="A14" s="43">
        <v>0</v>
      </c>
      <c r="B14" s="44">
        <v>16781.3877627</v>
      </c>
      <c r="C14" s="44">
        <v>25655.342167700001</v>
      </c>
      <c r="D14">
        <f t="shared" si="0"/>
        <v>0.67813877626999997</v>
      </c>
      <c r="E14">
        <f t="shared" si="1"/>
        <v>-1.4344657832299998</v>
      </c>
      <c r="F14">
        <f t="shared" si="2"/>
        <v>4.7658325187633741</v>
      </c>
      <c r="G14">
        <f t="shared" si="2"/>
        <v>3.6773436493333991E-2</v>
      </c>
      <c r="H14" t="b">
        <f t="shared" si="3"/>
        <v>0</v>
      </c>
    </row>
    <row r="15" spans="1:8" x14ac:dyDescent="0.2">
      <c r="A15" s="43">
        <v>0</v>
      </c>
      <c r="B15" s="44">
        <v>17253.027313999999</v>
      </c>
      <c r="C15" s="44">
        <v>25458.239071600001</v>
      </c>
      <c r="D15">
        <f t="shared" si="0"/>
        <v>0.7253027313999999</v>
      </c>
      <c r="E15">
        <f t="shared" si="1"/>
        <v>-1.4541760928399998</v>
      </c>
      <c r="F15">
        <f t="shared" si="2"/>
        <v>5.3125463410278888</v>
      </c>
      <c r="G15">
        <f t="shared" si="2"/>
        <v>3.5141792265172681E-2</v>
      </c>
      <c r="H15" t="b">
        <f t="shared" si="3"/>
        <v>0</v>
      </c>
    </row>
    <row r="16" spans="1:8" x14ac:dyDescent="0.2">
      <c r="A16" s="43">
        <v>0</v>
      </c>
      <c r="B16" s="44">
        <v>17851.3759985</v>
      </c>
      <c r="C16" s="44">
        <v>25275.214768099999</v>
      </c>
      <c r="D16">
        <f t="shared" si="0"/>
        <v>0.78513759984999998</v>
      </c>
      <c r="E16">
        <f t="shared" si="1"/>
        <v>-1.4724785231900002</v>
      </c>
      <c r="F16">
        <f t="shared" si="2"/>
        <v>6.0973005068182164</v>
      </c>
      <c r="G16">
        <f t="shared" si="2"/>
        <v>3.3691587655496208E-2</v>
      </c>
      <c r="H16" t="b">
        <f t="shared" si="3"/>
        <v>0</v>
      </c>
    </row>
    <row r="17" spans="1:8" x14ac:dyDescent="0.2">
      <c r="A17" s="43">
        <v>0</v>
      </c>
      <c r="B17" s="44">
        <v>18421.567097899999</v>
      </c>
      <c r="C17" s="44">
        <v>25120.348049799999</v>
      </c>
      <c r="D17">
        <f t="shared" si="0"/>
        <v>0.8421567097899999</v>
      </c>
      <c r="E17">
        <f t="shared" si="1"/>
        <v>-1.4879651950200001</v>
      </c>
      <c r="F17">
        <f t="shared" si="2"/>
        <v>6.9527515376667592</v>
      </c>
      <c r="G17">
        <f t="shared" si="2"/>
        <v>3.2511335138969567E-2</v>
      </c>
      <c r="H17" t="b">
        <f t="shared" si="3"/>
        <v>0</v>
      </c>
    </row>
    <row r="18" spans="1:8" x14ac:dyDescent="0.2">
      <c r="A18" s="43">
        <v>0</v>
      </c>
      <c r="B18" s="44">
        <v>19090.3097452</v>
      </c>
      <c r="C18" s="44">
        <v>25014.7571054</v>
      </c>
      <c r="D18">
        <f t="shared" si="0"/>
        <v>0.90903097452000003</v>
      </c>
      <c r="E18">
        <f t="shared" si="1"/>
        <v>-1.4985242894599999</v>
      </c>
      <c r="F18">
        <f t="shared" si="2"/>
        <v>8.1101889884961764</v>
      </c>
      <c r="G18">
        <f t="shared" si="2"/>
        <v>3.1730411952849862E-2</v>
      </c>
      <c r="H18" t="b">
        <f t="shared" si="3"/>
        <v>0</v>
      </c>
    </row>
    <row r="19" spans="1:8" x14ac:dyDescent="0.2">
      <c r="A19" s="95">
        <v>0</v>
      </c>
      <c r="B19" s="96">
        <v>19695.697826</v>
      </c>
      <c r="C19" s="96">
        <v>24986.599520299998</v>
      </c>
      <c r="D19" s="15">
        <f t="shared" si="0"/>
        <v>0.96956978259999993</v>
      </c>
      <c r="E19" s="15">
        <f t="shared" si="1"/>
        <v>-1.5013400479700001</v>
      </c>
      <c r="F19" s="15">
        <f t="shared" si="2"/>
        <v>9.3233026548294138</v>
      </c>
      <c r="G19" s="15">
        <f t="shared" si="2"/>
        <v>3.1525352551105001E-2</v>
      </c>
      <c r="H19" s="15" t="b">
        <f t="shared" si="3"/>
        <v>0</v>
      </c>
    </row>
    <row r="20" spans="1:8" x14ac:dyDescent="0.2">
      <c r="A20" s="69">
        <v>0</v>
      </c>
      <c r="B20" s="70">
        <v>20385.558662300002</v>
      </c>
      <c r="C20" s="70">
        <v>24972.520727700001</v>
      </c>
      <c r="D20" s="38">
        <f t="shared" si="0"/>
        <v>1.0385558662300001</v>
      </c>
      <c r="E20" s="38">
        <f t="shared" si="1"/>
        <v>-1.5027479272299999</v>
      </c>
      <c r="F20" s="38">
        <f t="shared" si="2"/>
        <v>10.928381972997027</v>
      </c>
      <c r="G20" s="38">
        <f t="shared" si="2"/>
        <v>3.1423320338992311E-2</v>
      </c>
      <c r="H20" s="38" t="b">
        <f t="shared" si="3"/>
        <v>0</v>
      </c>
    </row>
    <row r="21" spans="1:8" x14ac:dyDescent="0.2">
      <c r="A21" s="43">
        <v>0</v>
      </c>
      <c r="B21" s="44">
        <v>21230.286216799999</v>
      </c>
      <c r="C21" s="44">
        <v>24993.638916600001</v>
      </c>
      <c r="D21">
        <f t="shared" si="0"/>
        <v>1.1230286216799998</v>
      </c>
      <c r="E21">
        <f t="shared" si="1"/>
        <v>-1.5006361083399999</v>
      </c>
      <c r="F21">
        <f t="shared" si="2"/>
        <v>13.27481941022601</v>
      </c>
      <c r="G21">
        <f t="shared" si="2"/>
        <v>3.1576492827822891E-2</v>
      </c>
      <c r="H21" t="b">
        <f t="shared" si="3"/>
        <v>1</v>
      </c>
    </row>
    <row r="22" spans="1:8" x14ac:dyDescent="0.2">
      <c r="A22" s="43">
        <v>0</v>
      </c>
      <c r="B22" s="44">
        <v>21723.043957000002</v>
      </c>
      <c r="C22" s="44">
        <v>25021.796501699999</v>
      </c>
      <c r="D22">
        <f t="shared" si="0"/>
        <v>1.1723043957000001</v>
      </c>
      <c r="E22">
        <f t="shared" si="1"/>
        <v>-1.4978203498300002</v>
      </c>
      <c r="F22">
        <f t="shared" si="2"/>
        <v>14.869774951957886</v>
      </c>
      <c r="G22">
        <f t="shared" si="2"/>
        <v>3.17818848759523E-2</v>
      </c>
      <c r="H22" t="b">
        <f t="shared" si="3"/>
        <v>1</v>
      </c>
    </row>
    <row r="23" spans="1:8" x14ac:dyDescent="0.2">
      <c r="A23" s="43">
        <v>0</v>
      </c>
      <c r="B23" s="44">
        <v>22574.810907899999</v>
      </c>
      <c r="C23" s="44">
        <v>25113.3086535</v>
      </c>
      <c r="D23">
        <f t="shared" si="0"/>
        <v>1.2574810907899998</v>
      </c>
      <c r="E23">
        <f t="shared" si="1"/>
        <v>-1.4886691346500001</v>
      </c>
      <c r="F23">
        <f t="shared" si="2"/>
        <v>18.091771368486789</v>
      </c>
      <c r="G23">
        <f t="shared" si="2"/>
        <v>3.2458680821577809E-2</v>
      </c>
      <c r="H23" t="b">
        <f t="shared" si="3"/>
        <v>1</v>
      </c>
    </row>
    <row r="24" spans="1:8" x14ac:dyDescent="0.2">
      <c r="A24" s="43">
        <v>0</v>
      </c>
      <c r="B24" s="44">
        <v>23335.065707000002</v>
      </c>
      <c r="C24" s="44">
        <v>25176.663220099999</v>
      </c>
      <c r="D24">
        <f t="shared" si="0"/>
        <v>1.3335065707000002</v>
      </c>
      <c r="E24">
        <f t="shared" si="1"/>
        <v>-1.48233367799</v>
      </c>
      <c r="F24">
        <f t="shared" si="2"/>
        <v>21.552942520504974</v>
      </c>
      <c r="G24">
        <f t="shared" si="2"/>
        <v>3.2935656305797312E-2</v>
      </c>
      <c r="H24" t="b">
        <f t="shared" si="3"/>
        <v>1</v>
      </c>
    </row>
    <row r="25" spans="1:8" x14ac:dyDescent="0.2">
      <c r="A25" s="43">
        <v>0</v>
      </c>
      <c r="B25" s="44">
        <v>23933.414391499999</v>
      </c>
      <c r="C25" s="44">
        <v>25275.214768099999</v>
      </c>
      <c r="D25">
        <f t="shared" si="0"/>
        <v>1.3933414391499999</v>
      </c>
      <c r="E25">
        <f t="shared" si="1"/>
        <v>-1.4724785231900002</v>
      </c>
      <c r="F25">
        <f t="shared" si="2"/>
        <v>24.736681605731121</v>
      </c>
      <c r="G25">
        <f t="shared" si="2"/>
        <v>3.3691587655496208E-2</v>
      </c>
      <c r="H25" t="b">
        <f t="shared" si="3"/>
        <v>1</v>
      </c>
    </row>
    <row r="26" spans="1:8" x14ac:dyDescent="0.2">
      <c r="A26" s="43">
        <v>0</v>
      </c>
      <c r="B26" s="44">
        <v>24573.999453699998</v>
      </c>
      <c r="C26" s="44">
        <v>25352.648127299999</v>
      </c>
      <c r="D26">
        <f t="shared" si="0"/>
        <v>1.4573999453699999</v>
      </c>
      <c r="E26">
        <f t="shared" si="1"/>
        <v>-1.4647351872700001</v>
      </c>
      <c r="F26">
        <f t="shared" si="2"/>
        <v>28.668168299073432</v>
      </c>
      <c r="G26">
        <f t="shared" si="2"/>
        <v>3.4297685425552109E-2</v>
      </c>
      <c r="H26" t="b">
        <f t="shared" si="3"/>
        <v>1</v>
      </c>
    </row>
    <row r="27" spans="1:8" x14ac:dyDescent="0.2">
      <c r="A27" s="43">
        <v>0</v>
      </c>
      <c r="B27" s="44">
        <v>25200.505723400001</v>
      </c>
      <c r="C27" s="44">
        <v>25458.239071600001</v>
      </c>
      <c r="D27">
        <f t="shared" si="0"/>
        <v>1.5200505723400002</v>
      </c>
      <c r="E27">
        <f t="shared" si="1"/>
        <v>-1.4541760928399998</v>
      </c>
      <c r="F27">
        <f t="shared" si="2"/>
        <v>33.11696829919174</v>
      </c>
      <c r="G27">
        <f t="shared" si="2"/>
        <v>3.5141792265172681E-2</v>
      </c>
      <c r="H27" t="b">
        <f t="shared" si="3"/>
        <v>1</v>
      </c>
    </row>
    <row r="28" spans="1:8" x14ac:dyDescent="0.2">
      <c r="A28" s="43">
        <v>0</v>
      </c>
      <c r="B28" s="44">
        <v>25890.366559599999</v>
      </c>
      <c r="C28" s="44">
        <v>25563.830015899999</v>
      </c>
      <c r="D28">
        <f t="shared" si="0"/>
        <v>1.58903665596</v>
      </c>
      <c r="E28">
        <f t="shared" si="1"/>
        <v>-1.44361699841</v>
      </c>
      <c r="F28">
        <f t="shared" si="2"/>
        <v>38.818312860990062</v>
      </c>
      <c r="G28">
        <f t="shared" si="2"/>
        <v>3.6006673578284777E-2</v>
      </c>
      <c r="H28" t="b">
        <f t="shared" si="3"/>
        <v>1</v>
      </c>
    </row>
    <row r="29" spans="1:8" x14ac:dyDescent="0.2">
      <c r="A29" s="43">
        <v>0</v>
      </c>
      <c r="B29" s="44">
        <v>26636.542566200002</v>
      </c>
      <c r="C29" s="44">
        <v>25697.5785454</v>
      </c>
      <c r="D29">
        <f t="shared" si="0"/>
        <v>1.6636542566200001</v>
      </c>
      <c r="E29">
        <f t="shared" si="1"/>
        <v>-1.4302421454600001</v>
      </c>
      <c r="F29">
        <f t="shared" si="2"/>
        <v>46.095046414864839</v>
      </c>
      <c r="G29">
        <f t="shared" si="2"/>
        <v>3.7132813345875336E-2</v>
      </c>
      <c r="H29" t="b">
        <f t="shared" si="3"/>
        <v>1</v>
      </c>
    </row>
    <row r="30" spans="1:8" x14ac:dyDescent="0.2">
      <c r="A30" s="43">
        <v>0</v>
      </c>
      <c r="B30" s="44">
        <v>27417.9155541</v>
      </c>
      <c r="C30" s="44">
        <v>25845.405867400001</v>
      </c>
      <c r="D30">
        <f t="shared" si="0"/>
        <v>1.7417915554100001</v>
      </c>
      <c r="E30">
        <f t="shared" si="1"/>
        <v>-1.41545941326</v>
      </c>
      <c r="F30">
        <f t="shared" si="2"/>
        <v>55.181252699589493</v>
      </c>
      <c r="G30">
        <f t="shared" si="2"/>
        <v>3.8418516130350834E-2</v>
      </c>
      <c r="H30" t="b">
        <f t="shared" si="3"/>
        <v>1</v>
      </c>
    </row>
    <row r="31" spans="1:8" x14ac:dyDescent="0.2">
      <c r="A31" s="43">
        <v>0</v>
      </c>
      <c r="B31" s="44">
        <v>28114.815786700001</v>
      </c>
      <c r="C31" s="44">
        <v>25972.115000599999</v>
      </c>
      <c r="D31">
        <f t="shared" si="0"/>
        <v>1.81148157867</v>
      </c>
      <c r="E31">
        <f t="shared" si="1"/>
        <v>-1.4027884999400002</v>
      </c>
      <c r="F31">
        <f t="shared" si="2"/>
        <v>64.78606145896876</v>
      </c>
      <c r="G31">
        <f t="shared" si="2"/>
        <v>3.9555920927202642E-2</v>
      </c>
      <c r="H31" t="b">
        <f t="shared" si="3"/>
        <v>1</v>
      </c>
    </row>
    <row r="32" spans="1:8" x14ac:dyDescent="0.2">
      <c r="A32" s="43">
        <v>0</v>
      </c>
      <c r="B32" s="44">
        <v>28727.243263699998</v>
      </c>
      <c r="C32" s="44">
        <v>26091.784737499998</v>
      </c>
      <c r="D32">
        <f t="shared" si="0"/>
        <v>1.8727243263699997</v>
      </c>
      <c r="E32">
        <f t="shared" si="1"/>
        <v>-1.3908215262500001</v>
      </c>
      <c r="F32">
        <f t="shared" si="2"/>
        <v>74.597509145881432</v>
      </c>
      <c r="G32">
        <f t="shared" si="2"/>
        <v>4.0661039178117149E-2</v>
      </c>
      <c r="H32" t="b">
        <f t="shared" si="3"/>
        <v>1</v>
      </c>
    </row>
    <row r="33" spans="1:8" x14ac:dyDescent="0.2">
      <c r="A33" s="43">
        <v>0</v>
      </c>
      <c r="B33" s="44">
        <v>29431.182892600002</v>
      </c>
      <c r="C33" s="44">
        <v>26225.533266999999</v>
      </c>
      <c r="D33">
        <f t="shared" si="0"/>
        <v>1.9431182892600001</v>
      </c>
      <c r="E33">
        <f t="shared" si="1"/>
        <v>-1.3774466733000001</v>
      </c>
      <c r="F33">
        <f t="shared" si="2"/>
        <v>87.723972334390837</v>
      </c>
      <c r="G33">
        <f t="shared" si="2"/>
        <v>4.1932748243673566E-2</v>
      </c>
      <c r="H33" t="b">
        <f t="shared" si="3"/>
        <v>1</v>
      </c>
    </row>
    <row r="34" spans="1:8" x14ac:dyDescent="0.2">
      <c r="A34" s="43">
        <v>0</v>
      </c>
      <c r="B34" s="44">
        <v>30388.540787800001</v>
      </c>
      <c r="C34" s="44">
        <v>26422.636363099999</v>
      </c>
      <c r="D34">
        <f t="shared" si="0"/>
        <v>2.03885407878</v>
      </c>
      <c r="E34">
        <f t="shared" si="1"/>
        <v>-1.3577363636900002</v>
      </c>
      <c r="F34">
        <f t="shared" si="2"/>
        <v>109.35888630237666</v>
      </c>
      <c r="G34">
        <f t="shared" si="2"/>
        <v>4.3879698647524716E-2</v>
      </c>
      <c r="H34" t="b">
        <f t="shared" si="3"/>
        <v>1</v>
      </c>
    </row>
    <row r="35" spans="1:8" x14ac:dyDescent="0.2">
      <c r="A35" s="43">
        <v>0</v>
      </c>
      <c r="B35" s="44">
        <v>31662.671515900001</v>
      </c>
      <c r="C35" s="44">
        <v>26690.133421999999</v>
      </c>
      <c r="D35">
        <f t="shared" si="0"/>
        <v>2.1662671515900001</v>
      </c>
      <c r="E35">
        <f t="shared" si="1"/>
        <v>-1.3309866578</v>
      </c>
      <c r="F35">
        <f t="shared" si="2"/>
        <v>146.64496343188671</v>
      </c>
      <c r="G35">
        <f t="shared" si="2"/>
        <v>4.6667371703438203E-2</v>
      </c>
      <c r="H35" t="b">
        <f t="shared" si="3"/>
        <v>1</v>
      </c>
    </row>
    <row r="36" spans="1:8" x14ac:dyDescent="0.2">
      <c r="A36" s="43">
        <v>0</v>
      </c>
      <c r="B36" s="44">
        <v>32634.108203700001</v>
      </c>
      <c r="C36" s="44">
        <v>26894.275914400001</v>
      </c>
      <c r="D36">
        <f t="shared" si="0"/>
        <v>2.2634108203700003</v>
      </c>
      <c r="E36">
        <f t="shared" si="1"/>
        <v>-1.3105724085599999</v>
      </c>
      <c r="F36">
        <f t="shared" si="2"/>
        <v>183.4048518163622</v>
      </c>
      <c r="G36">
        <f t="shared" si="2"/>
        <v>4.891337066032727E-2</v>
      </c>
      <c r="H36" t="b">
        <f t="shared" si="3"/>
        <v>1</v>
      </c>
    </row>
    <row r="37" spans="1:8" x14ac:dyDescent="0.2">
      <c r="A37" s="43">
        <v>0</v>
      </c>
      <c r="B37" s="44">
        <v>33605.544891500002</v>
      </c>
      <c r="C37" s="44">
        <v>27098.418406699999</v>
      </c>
      <c r="D37">
        <f t="shared" si="0"/>
        <v>2.3605544891500001</v>
      </c>
      <c r="E37">
        <f t="shared" si="1"/>
        <v>-1.2901581593300002</v>
      </c>
      <c r="F37">
        <f t="shared" si="2"/>
        <v>229.37944053840985</v>
      </c>
      <c r="G37">
        <f t="shared" si="2"/>
        <v>5.1267464653965179E-2</v>
      </c>
      <c r="H37" t="b">
        <f t="shared" si="3"/>
        <v>1</v>
      </c>
    </row>
    <row r="38" spans="1:8" x14ac:dyDescent="0.2">
      <c r="A38" s="43">
        <v>0</v>
      </c>
      <c r="B38" s="44">
        <v>34415.075464599999</v>
      </c>
      <c r="C38" s="44">
        <v>27253.285125099999</v>
      </c>
      <c r="D38">
        <f t="shared" si="0"/>
        <v>2.44150754646</v>
      </c>
      <c r="E38">
        <f t="shared" si="1"/>
        <v>-1.27467148749</v>
      </c>
      <c r="F38">
        <f t="shared" si="2"/>
        <v>276.38059436575816</v>
      </c>
      <c r="G38">
        <f t="shared" si="2"/>
        <v>5.3128617201374011E-2</v>
      </c>
      <c r="H38" t="b">
        <f t="shared" si="3"/>
        <v>1</v>
      </c>
    </row>
    <row r="39" spans="1:8" x14ac:dyDescent="0.2">
      <c r="A39" s="43">
        <v>0</v>
      </c>
      <c r="B39" s="44">
        <v>35210.527245199999</v>
      </c>
      <c r="C39" s="44">
        <v>27372.954861999999</v>
      </c>
      <c r="D39">
        <f t="shared" si="0"/>
        <v>2.5210527245200001</v>
      </c>
      <c r="E39">
        <f t="shared" si="1"/>
        <v>-1.2627045138000002</v>
      </c>
      <c r="F39">
        <f t="shared" si="2"/>
        <v>331.93475287974184</v>
      </c>
      <c r="G39">
        <f t="shared" si="2"/>
        <v>5.4612931133114891E-2</v>
      </c>
      <c r="H39" t="b">
        <f t="shared" si="3"/>
        <v>1</v>
      </c>
    </row>
    <row r="40" spans="1:8" x14ac:dyDescent="0.2">
      <c r="A40" s="43">
        <v>0</v>
      </c>
      <c r="B40" s="44">
        <v>35956.703251699997</v>
      </c>
      <c r="C40" s="44">
        <v>27478.545806300001</v>
      </c>
      <c r="D40">
        <f t="shared" si="0"/>
        <v>2.5956703251699995</v>
      </c>
      <c r="E40">
        <f t="shared" si="1"/>
        <v>-1.2521454193699999</v>
      </c>
      <c r="F40">
        <f t="shared" si="2"/>
        <v>394.15798144391096</v>
      </c>
      <c r="G40">
        <f t="shared" si="2"/>
        <v>5.5957020337071665E-2</v>
      </c>
      <c r="H40" t="b">
        <f t="shared" si="3"/>
        <v>1</v>
      </c>
    </row>
    <row r="41" spans="1:8" x14ac:dyDescent="0.2">
      <c r="A41" s="43">
        <v>0</v>
      </c>
      <c r="B41" s="44">
        <v>36794.391409999997</v>
      </c>
      <c r="C41" s="44">
        <v>27541.9003729</v>
      </c>
      <c r="D41">
        <f t="shared" si="0"/>
        <v>2.6794391409999996</v>
      </c>
      <c r="E41">
        <f t="shared" si="1"/>
        <v>-1.2458099627100001</v>
      </c>
      <c r="F41">
        <f t="shared" si="2"/>
        <v>478.01237613465457</v>
      </c>
      <c r="G41">
        <f t="shared" si="2"/>
        <v>5.677930042348265E-2</v>
      </c>
      <c r="H41" t="b">
        <f t="shared" si="3"/>
        <v>1</v>
      </c>
    </row>
    <row r="42" spans="1:8" x14ac:dyDescent="0.2">
      <c r="A42" s="43">
        <v>0</v>
      </c>
      <c r="B42" s="44">
        <v>37646.158360900001</v>
      </c>
      <c r="C42" s="44">
        <v>27577.0973543</v>
      </c>
      <c r="D42">
        <f t="shared" si="0"/>
        <v>2.7646158360899999</v>
      </c>
      <c r="E42">
        <f t="shared" si="1"/>
        <v>-1.24229026457</v>
      </c>
      <c r="F42">
        <f t="shared" si="2"/>
        <v>581.58853434406626</v>
      </c>
      <c r="G42">
        <f t="shared" si="2"/>
        <v>5.7241332558324871E-2</v>
      </c>
      <c r="H42" t="b">
        <f t="shared" si="3"/>
        <v>1</v>
      </c>
    </row>
    <row r="43" spans="1:8" x14ac:dyDescent="0.2">
      <c r="A43" s="43">
        <v>0</v>
      </c>
      <c r="B43" s="44">
        <v>38716.146596699997</v>
      </c>
      <c r="C43" s="44">
        <v>27577.0973543</v>
      </c>
      <c r="D43">
        <f t="shared" si="0"/>
        <v>2.8716146596699996</v>
      </c>
      <c r="E43">
        <f t="shared" si="1"/>
        <v>-1.24229026457</v>
      </c>
      <c r="F43">
        <f t="shared" si="2"/>
        <v>744.07148200329004</v>
      </c>
      <c r="G43">
        <f t="shared" si="2"/>
        <v>5.7241332558324871E-2</v>
      </c>
      <c r="H43" t="b">
        <f t="shared" si="3"/>
        <v>0</v>
      </c>
    </row>
    <row r="44" spans="1:8" x14ac:dyDescent="0.2">
      <c r="A44" s="43">
        <v>0</v>
      </c>
      <c r="B44" s="44">
        <v>41461.511149099999</v>
      </c>
      <c r="C44" s="44">
        <v>27577.0973543</v>
      </c>
      <c r="D44">
        <f t="shared" si="0"/>
        <v>3.1461511149099999</v>
      </c>
      <c r="E44">
        <f t="shared" si="1"/>
        <v>-1.24229026457</v>
      </c>
      <c r="F44">
        <f t="shared" si="2"/>
        <v>1400.0744006298962</v>
      </c>
      <c r="G44">
        <f t="shared" si="2"/>
        <v>5.7241332558324871E-2</v>
      </c>
      <c r="H44" t="b">
        <f t="shared" si="3"/>
        <v>0</v>
      </c>
    </row>
    <row r="45" spans="1:8" x14ac:dyDescent="0.2">
      <c r="A45" s="43">
        <v>0</v>
      </c>
      <c r="B45" s="44">
        <v>47198.619123900004</v>
      </c>
      <c r="C45" s="44">
        <v>27591.176146900001</v>
      </c>
      <c r="D45">
        <f t="shared" si="0"/>
        <v>3.7198619123900003</v>
      </c>
      <c r="E45">
        <f t="shared" si="1"/>
        <v>-1.2408823853099999</v>
      </c>
      <c r="F45">
        <f t="shared" si="2"/>
        <v>5246.4061979702692</v>
      </c>
      <c r="G45">
        <f t="shared" si="2"/>
        <v>5.7427196423829804E-2</v>
      </c>
      <c r="H45" t="b">
        <f t="shared" si="3"/>
        <v>1</v>
      </c>
    </row>
    <row r="46" spans="1:8" x14ac:dyDescent="0.2">
      <c r="A46" s="43">
        <v>0</v>
      </c>
      <c r="B46" s="44">
        <v>50873.183986399999</v>
      </c>
      <c r="C46" s="44">
        <v>27598.2155432</v>
      </c>
      <c r="D46">
        <f t="shared" si="0"/>
        <v>4.0873183986399999</v>
      </c>
      <c r="E46">
        <f t="shared" si="1"/>
        <v>-1.24017844568</v>
      </c>
      <c r="F46">
        <f t="shared" si="2"/>
        <v>12226.957387567869</v>
      </c>
      <c r="G46">
        <f t="shared" si="2"/>
        <v>5.7520354548278536E-2</v>
      </c>
      <c r="H46" t="b">
        <f t="shared" si="3"/>
        <v>1</v>
      </c>
    </row>
    <row r="47" spans="1:8" x14ac:dyDescent="0.2">
      <c r="A47" s="43">
        <v>0</v>
      </c>
      <c r="B47" s="44">
        <v>60003.623987600004</v>
      </c>
      <c r="C47" s="44">
        <v>27602.569048199999</v>
      </c>
      <c r="D47">
        <f t="shared" si="0"/>
        <v>5.0003623987600001</v>
      </c>
      <c r="E47">
        <f t="shared" si="1"/>
        <v>-1.2397430951800001</v>
      </c>
      <c r="F47">
        <f t="shared" si="2"/>
        <v>100083.48022360823</v>
      </c>
      <c r="G47">
        <f t="shared" si="2"/>
        <v>5.7578043677554626E-2</v>
      </c>
      <c r="H47" t="b">
        <f t="shared" si="3"/>
        <v>1</v>
      </c>
    </row>
    <row r="48" spans="1:8" x14ac:dyDescent="0.2">
      <c r="D48">
        <v>100</v>
      </c>
      <c r="E48">
        <f>E47</f>
        <v>-1.2397430951800001</v>
      </c>
      <c r="F48">
        <f t="shared" si="2"/>
        <v>1E+100</v>
      </c>
      <c r="G48">
        <f t="shared" si="2"/>
        <v>5.7578043677554626E-2</v>
      </c>
      <c r="H48" t="b">
        <f t="shared" si="3"/>
        <v>0</v>
      </c>
    </row>
    <row r="50" spans="1:1" x14ac:dyDescent="0.2">
      <c r="A50" s="43" t="s">
        <v>202</v>
      </c>
    </row>
    <row r="51" spans="1:1" x14ac:dyDescent="0.2">
      <c r="A51" s="43" t="s">
        <v>203</v>
      </c>
    </row>
    <row r="52" spans="1:1" x14ac:dyDescent="0.2">
      <c r="A52" s="43" t="s">
        <v>204</v>
      </c>
    </row>
    <row r="53" spans="1:1" x14ac:dyDescent="0.2">
      <c r="A53" s="43" t="s">
        <v>205</v>
      </c>
    </row>
    <row r="54" spans="1:1" x14ac:dyDescent="0.2">
      <c r="A54" s="43" t="s">
        <v>206</v>
      </c>
    </row>
    <row r="56" spans="1:1" x14ac:dyDescent="0.2">
      <c r="A56" s="43" t="s">
        <v>207</v>
      </c>
    </row>
    <row r="95" spans="1:1" x14ac:dyDescent="0.2">
      <c r="A95" s="67"/>
    </row>
    <row r="96" spans="1:1" x14ac:dyDescent="0.2">
      <c r="A96" s="67"/>
    </row>
    <row r="97" spans="1:1" x14ac:dyDescent="0.2">
      <c r="A97" s="67"/>
    </row>
    <row r="98" spans="1:1" x14ac:dyDescent="0.2">
      <c r="A98" s="67"/>
    </row>
    <row r="99" spans="1:1" x14ac:dyDescent="0.2">
      <c r="A99" s="67"/>
    </row>
    <row r="100" spans="1:1" x14ac:dyDescent="0.2">
      <c r="A100" s="67"/>
    </row>
  </sheetData>
  <sheetProtection password="E1DD" sheet="1" objects="1" scenarios="1"/>
  <phoneticPr fontId="0" type="noConversion"/>
  <pageMargins left="0.75" right="0.75" top="1" bottom="1" header="0.5" footer="0.5"/>
  <pageSetup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8" sqref="A18"/>
    </sheetView>
  </sheetViews>
  <sheetFormatPr defaultRowHeight="12.75" x14ac:dyDescent="0.2"/>
  <sheetData/>
  <sheetProtection password="E1DD" sheet="1" objects="1" scenarios="1"/>
  <phoneticPr fontId="13" type="noConversion"/>
  <pageMargins left="0.75" right="0.75" top="1" bottom="1" header="0.5" footer="0.5"/>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A18" sqref="A18"/>
    </sheetView>
  </sheetViews>
  <sheetFormatPr defaultRowHeight="12.75" x14ac:dyDescent="0.2"/>
  <cols>
    <col min="1" max="1" width="6.7109375" style="43" customWidth="1"/>
    <col min="2" max="5" width="19.7109375" style="44" customWidth="1"/>
    <col min="6" max="6" width="12.28515625" customWidth="1"/>
    <col min="9" max="9" width="12" customWidth="1"/>
  </cols>
  <sheetData>
    <row r="1" spans="1:9" ht="38.25" customHeight="1" x14ac:dyDescent="0.2">
      <c r="A1" s="43" t="s">
        <v>75</v>
      </c>
      <c r="B1" s="44" t="s">
        <v>76</v>
      </c>
      <c r="C1" s="44" t="s">
        <v>77</v>
      </c>
      <c r="D1" s="44" t="s">
        <v>78</v>
      </c>
      <c r="E1" s="64" t="s">
        <v>178</v>
      </c>
      <c r="F1" s="64" t="s">
        <v>179</v>
      </c>
      <c r="H1" s="1" t="s">
        <v>183</v>
      </c>
      <c r="I1" s="1" t="s">
        <v>182</v>
      </c>
    </row>
    <row r="2" spans="1:9" x14ac:dyDescent="0.2">
      <c r="A2" s="43">
        <v>1</v>
      </c>
      <c r="B2" s="44">
        <v>10000</v>
      </c>
      <c r="C2" s="44">
        <v>15424.425152399999</v>
      </c>
      <c r="D2" s="44">
        <f>10^((B2-10000)/5000 - 1)</f>
        <v>0.1</v>
      </c>
      <c r="E2" s="44">
        <f>10^((C2-10000)/5000+1)</f>
        <v>121.58640858614929</v>
      </c>
      <c r="F2">
        <f>E2/453.592 / 3.28084 / 3.28084</f>
        <v>2.4902878043280306E-2</v>
      </c>
      <c r="H2">
        <f>LOG10(D2)</f>
        <v>-1</v>
      </c>
      <c r="I2">
        <f>LOG10(F2)</f>
        <v>-1.6037504582823536</v>
      </c>
    </row>
    <row r="3" spans="1:9" x14ac:dyDescent="0.2">
      <c r="A3" s="43">
        <v>2</v>
      </c>
      <c r="B3" s="44">
        <v>10463.6425494</v>
      </c>
      <c r="C3" s="44">
        <v>15446.4928912</v>
      </c>
      <c r="D3" s="44">
        <f t="shared" ref="D3:D32" si="0">10^((B3-10000)/5000 - 1)</f>
        <v>0.12380224207331714</v>
      </c>
      <c r="E3" s="44">
        <f t="shared" ref="E3:E32" si="1">10^((C3-10000)/5000+1)</f>
        <v>122.82833879911865</v>
      </c>
      <c r="F3">
        <f t="shared" ref="F3:F32" si="2">E3/453.592 / 3.28084 / 3.28084</f>
        <v>2.5157245591359723E-2</v>
      </c>
      <c r="H3">
        <f t="shared" ref="H3:H32" si="3">LOG10(D3)</f>
        <v>-0.90727149012000008</v>
      </c>
      <c r="I3">
        <f t="shared" ref="I3:I32" si="4">LOG10(F3)</f>
        <v>-1.5993369105223536</v>
      </c>
    </row>
    <row r="4" spans="1:9" x14ac:dyDescent="0.2">
      <c r="A4" s="43">
        <v>3</v>
      </c>
      <c r="B4" s="44">
        <v>10940.857401699999</v>
      </c>
      <c r="C4" s="44">
        <v>15474.077564699999</v>
      </c>
      <c r="D4" s="44">
        <f t="shared" si="0"/>
        <v>0.15423093106002805</v>
      </c>
      <c r="E4" s="44">
        <f t="shared" si="1"/>
        <v>124.39860577780011</v>
      </c>
      <c r="F4">
        <f t="shared" si="2"/>
        <v>2.547886186015335E-2</v>
      </c>
      <c r="H4">
        <f t="shared" si="3"/>
        <v>-0.81182851966000014</v>
      </c>
      <c r="I4">
        <f t="shared" si="4"/>
        <v>-1.5938199758223537</v>
      </c>
    </row>
    <row r="5" spans="1:9" x14ac:dyDescent="0.2">
      <c r="A5" s="43">
        <v>4</v>
      </c>
      <c r="B5" s="44">
        <v>11448.4153948</v>
      </c>
      <c r="C5" s="44">
        <v>15509.937640300001</v>
      </c>
      <c r="D5" s="44">
        <f t="shared" si="0"/>
        <v>0.19484222437543436</v>
      </c>
      <c r="E5" s="44">
        <f t="shared" si="1"/>
        <v>126.47000276697088</v>
      </c>
      <c r="F5">
        <f t="shared" si="2"/>
        <v>2.5903117722304157E-2</v>
      </c>
      <c r="H5">
        <f t="shared" si="3"/>
        <v>-0.7103169210400001</v>
      </c>
      <c r="I5">
        <f t="shared" si="4"/>
        <v>-1.5866479607023531</v>
      </c>
    </row>
    <row r="6" spans="1:9" x14ac:dyDescent="0.2">
      <c r="A6" s="43">
        <v>5</v>
      </c>
      <c r="B6" s="44">
        <v>11991.8334636</v>
      </c>
      <c r="C6" s="44">
        <v>15559.590052699999</v>
      </c>
      <c r="D6" s="44">
        <f t="shared" si="0"/>
        <v>0.25024573977905512</v>
      </c>
      <c r="E6" s="44">
        <f t="shared" si="1"/>
        <v>129.39515362445226</v>
      </c>
      <c r="F6">
        <f t="shared" si="2"/>
        <v>2.6502236290811283E-2</v>
      </c>
      <c r="H6">
        <f t="shared" si="3"/>
        <v>-0.60163330728000008</v>
      </c>
      <c r="I6">
        <f t="shared" si="4"/>
        <v>-1.5767174782223532</v>
      </c>
    </row>
    <row r="7" spans="1:9" x14ac:dyDescent="0.2">
      <c r="A7" s="43">
        <v>6</v>
      </c>
      <c r="B7" s="44">
        <v>12251.129394899999</v>
      </c>
      <c r="C7" s="44">
        <v>15592.691661000001</v>
      </c>
      <c r="D7" s="44">
        <f t="shared" si="0"/>
        <v>0.28198491691977146</v>
      </c>
      <c r="E7" s="44">
        <f t="shared" si="1"/>
        <v>131.38274523951333</v>
      </c>
      <c r="F7">
        <f t="shared" si="2"/>
        <v>2.6909327446519207E-2</v>
      </c>
      <c r="H7">
        <f t="shared" si="3"/>
        <v>-0.54977412102000034</v>
      </c>
      <c r="I7">
        <f t="shared" si="4"/>
        <v>-1.5700971565623534</v>
      </c>
    </row>
    <row r="8" spans="1:9" x14ac:dyDescent="0.2">
      <c r="A8" s="43">
        <v>7</v>
      </c>
      <c r="B8" s="44">
        <v>12551.802336500001</v>
      </c>
      <c r="C8" s="44">
        <v>15636.8271386</v>
      </c>
      <c r="D8" s="44">
        <f t="shared" si="0"/>
        <v>0.32386235330524982</v>
      </c>
      <c r="E8" s="44">
        <f t="shared" si="1"/>
        <v>134.08044038449907</v>
      </c>
      <c r="F8">
        <f t="shared" si="2"/>
        <v>2.7461859378128405E-2</v>
      </c>
      <c r="H8">
        <f t="shared" si="3"/>
        <v>-0.48963953269999982</v>
      </c>
      <c r="I8">
        <f t="shared" si="4"/>
        <v>-1.5612700610423533</v>
      </c>
    </row>
    <row r="9" spans="1:9" x14ac:dyDescent="0.2">
      <c r="A9" s="43">
        <v>8</v>
      </c>
      <c r="B9" s="44">
        <v>12813.8567351</v>
      </c>
      <c r="C9" s="44">
        <v>15680.962616299999</v>
      </c>
      <c r="D9" s="44">
        <f t="shared" si="0"/>
        <v>0.36540235919686348</v>
      </c>
      <c r="E9" s="44">
        <f t="shared" si="1"/>
        <v>136.83352758199456</v>
      </c>
      <c r="F9">
        <f t="shared" si="2"/>
        <v>2.8025736504848277E-2</v>
      </c>
      <c r="H9">
        <f t="shared" si="3"/>
        <v>-0.43722865298000008</v>
      </c>
      <c r="I9">
        <f t="shared" si="4"/>
        <v>-1.5524429655023533</v>
      </c>
    </row>
    <row r="10" spans="1:9" x14ac:dyDescent="0.2">
      <c r="A10" s="43">
        <v>9</v>
      </c>
      <c r="B10" s="44">
        <v>13078.6696011</v>
      </c>
      <c r="C10" s="44">
        <v>15736.131963399999</v>
      </c>
      <c r="D10" s="44">
        <f t="shared" si="0"/>
        <v>0.41279451713190785</v>
      </c>
      <c r="E10" s="44">
        <f t="shared" si="1"/>
        <v>140.35451657222677</v>
      </c>
      <c r="F10">
        <f t="shared" si="2"/>
        <v>2.8746892433665419E-2</v>
      </c>
      <c r="H10">
        <f t="shared" si="3"/>
        <v>-0.38426607977999999</v>
      </c>
      <c r="I10">
        <f t="shared" si="4"/>
        <v>-1.5414090960823539</v>
      </c>
    </row>
    <row r="11" spans="1:9" x14ac:dyDescent="0.2">
      <c r="A11" s="43">
        <v>10</v>
      </c>
      <c r="B11" s="44">
        <v>13296.588522100001</v>
      </c>
      <c r="C11" s="44">
        <v>15777.5089737</v>
      </c>
      <c r="D11" s="44">
        <f t="shared" si="0"/>
        <v>0.45637064791777782</v>
      </c>
      <c r="E11" s="44">
        <f t="shared" si="1"/>
        <v>143.054589259822</v>
      </c>
      <c r="F11">
        <f t="shared" si="2"/>
        <v>2.9299911324749239E-2</v>
      </c>
      <c r="H11">
        <f t="shared" si="3"/>
        <v>-0.34068229557999991</v>
      </c>
      <c r="I11">
        <f t="shared" si="4"/>
        <v>-1.5331336940223534</v>
      </c>
    </row>
    <row r="12" spans="1:9" x14ac:dyDescent="0.2">
      <c r="A12" s="43">
        <v>11</v>
      </c>
      <c r="B12" s="44">
        <v>13533.816714500001</v>
      </c>
      <c r="C12" s="44">
        <v>15832.6783208</v>
      </c>
      <c r="D12" s="44">
        <f t="shared" si="0"/>
        <v>0.5090534005015338</v>
      </c>
      <c r="E12" s="44">
        <f t="shared" si="1"/>
        <v>146.73565809351274</v>
      </c>
      <c r="F12">
        <f t="shared" si="2"/>
        <v>3.0053854214421555E-2</v>
      </c>
      <c r="H12">
        <f t="shared" si="3"/>
        <v>-0.29323665709999996</v>
      </c>
      <c r="I12">
        <f t="shared" si="4"/>
        <v>-1.5220998246023536</v>
      </c>
    </row>
    <row r="13" spans="1:9" x14ac:dyDescent="0.2">
      <c r="A13" s="43">
        <v>12</v>
      </c>
      <c r="B13" s="44">
        <v>13773.8033743</v>
      </c>
      <c r="C13" s="44">
        <v>15896.123069900001</v>
      </c>
      <c r="D13" s="44">
        <f t="shared" si="0"/>
        <v>0.5685395414075135</v>
      </c>
      <c r="E13" s="44">
        <f t="shared" si="1"/>
        <v>151.08613587496464</v>
      </c>
      <c r="F13">
        <f t="shared" si="2"/>
        <v>3.0944902966344633E-2</v>
      </c>
      <c r="H13">
        <f t="shared" si="3"/>
        <v>-0.24523932513999999</v>
      </c>
      <c r="I13">
        <f t="shared" si="4"/>
        <v>-1.5094108747823534</v>
      </c>
    </row>
    <row r="14" spans="1:9" x14ac:dyDescent="0.2">
      <c r="A14" s="43">
        <v>13</v>
      </c>
      <c r="B14" s="44">
        <v>14049.6501097</v>
      </c>
      <c r="C14" s="44">
        <v>15984.394025199999</v>
      </c>
      <c r="D14" s="44">
        <f t="shared" si="0"/>
        <v>0.64555020286718445</v>
      </c>
      <c r="E14" s="44">
        <f t="shared" si="1"/>
        <v>157.3543687400919</v>
      </c>
      <c r="F14">
        <f t="shared" si="2"/>
        <v>3.2228739214181033E-2</v>
      </c>
      <c r="H14">
        <f t="shared" si="3"/>
        <v>-0.19006997806000003</v>
      </c>
      <c r="I14">
        <f t="shared" si="4"/>
        <v>-1.4917566837223537</v>
      </c>
    </row>
    <row r="15" spans="1:9" x14ac:dyDescent="0.2">
      <c r="A15" s="43">
        <v>14</v>
      </c>
      <c r="B15" s="44">
        <v>14292.3952369</v>
      </c>
      <c r="C15" s="44">
        <v>16064.3895785</v>
      </c>
      <c r="D15" s="44">
        <f t="shared" si="0"/>
        <v>0.72190333373315752</v>
      </c>
      <c r="E15" s="44">
        <f t="shared" si="1"/>
        <v>163.25929460132286</v>
      </c>
      <c r="F15">
        <f t="shared" si="2"/>
        <v>3.3438164266592671E-2</v>
      </c>
      <c r="H15">
        <f t="shared" si="3"/>
        <v>-0.14152095262000003</v>
      </c>
      <c r="I15">
        <f t="shared" si="4"/>
        <v>-1.4757575730623536</v>
      </c>
    </row>
    <row r="16" spans="1:9" x14ac:dyDescent="0.2">
      <c r="A16" s="43">
        <v>15</v>
      </c>
      <c r="B16" s="44">
        <v>14604.1020479</v>
      </c>
      <c r="C16" s="44">
        <v>16183.003674699999</v>
      </c>
      <c r="D16" s="44">
        <f t="shared" si="0"/>
        <v>0.83333651019229582</v>
      </c>
      <c r="E16" s="44">
        <f t="shared" si="1"/>
        <v>172.4251986225095</v>
      </c>
      <c r="F16">
        <f t="shared" si="2"/>
        <v>3.5315490792232201E-2</v>
      </c>
      <c r="H16">
        <f t="shared" si="3"/>
        <v>-7.9179590420000015E-2</v>
      </c>
      <c r="I16">
        <f t="shared" si="4"/>
        <v>-1.4520347538223537</v>
      </c>
    </row>
    <row r="17" spans="1:9" x14ac:dyDescent="0.2">
      <c r="A17" s="43">
        <v>16</v>
      </c>
      <c r="B17" s="44">
        <v>14899.258054800001</v>
      </c>
      <c r="C17" s="44">
        <v>16312.651640399999</v>
      </c>
      <c r="D17" s="44">
        <f t="shared" si="0"/>
        <v>0.95466634142931828</v>
      </c>
      <c r="E17" s="44">
        <f t="shared" si="1"/>
        <v>183.03339195291926</v>
      </c>
      <c r="F17">
        <f t="shared" si="2"/>
        <v>3.7488221674233324E-2</v>
      </c>
      <c r="H17">
        <f t="shared" si="3"/>
        <v>-2.0148389039999978E-2</v>
      </c>
      <c r="I17">
        <f t="shared" si="4"/>
        <v>-1.4261051606823536</v>
      </c>
    </row>
    <row r="18" spans="1:9" x14ac:dyDescent="0.2">
      <c r="A18" s="43">
        <v>17</v>
      </c>
      <c r="B18" s="44">
        <v>15221.998735200001</v>
      </c>
      <c r="C18" s="44">
        <v>16480.918149000001</v>
      </c>
      <c r="D18" s="44">
        <f t="shared" si="0"/>
        <v>1.107642846509771</v>
      </c>
      <c r="E18" s="44">
        <f t="shared" si="1"/>
        <v>197.78057255664169</v>
      </c>
      <c r="F18">
        <f t="shared" si="2"/>
        <v>4.0508684605306065E-2</v>
      </c>
      <c r="H18">
        <f t="shared" si="3"/>
        <v>4.4399747040000138E-2</v>
      </c>
      <c r="I18">
        <f t="shared" si="4"/>
        <v>-1.3924518589623534</v>
      </c>
    </row>
    <row r="19" spans="1:9" x14ac:dyDescent="0.2">
      <c r="A19" s="43">
        <v>18</v>
      </c>
      <c r="B19" s="44">
        <v>15575.0825566</v>
      </c>
      <c r="C19" s="44">
        <v>16682.286265800001</v>
      </c>
      <c r="D19" s="44">
        <f t="shared" si="0"/>
        <v>1.3032163241260735</v>
      </c>
      <c r="E19" s="44">
        <f t="shared" si="1"/>
        <v>216.9987605003154</v>
      </c>
      <c r="F19">
        <f t="shared" si="2"/>
        <v>4.4444882706223293E-2</v>
      </c>
      <c r="H19">
        <f t="shared" si="3"/>
        <v>0.11501651132000017</v>
      </c>
      <c r="I19">
        <f t="shared" si="4"/>
        <v>-1.3521782356023531</v>
      </c>
    </row>
    <row r="20" spans="1:9" x14ac:dyDescent="0.2">
      <c r="A20" s="43">
        <v>19</v>
      </c>
      <c r="B20" s="44">
        <v>15831.6200205</v>
      </c>
      <c r="C20" s="44">
        <v>16842.2773724</v>
      </c>
      <c r="D20" s="44">
        <f t="shared" si="0"/>
        <v>1.4666416164949911</v>
      </c>
      <c r="E20" s="44">
        <f t="shared" si="1"/>
        <v>233.59066039237752</v>
      </c>
      <c r="F20">
        <f t="shared" si="2"/>
        <v>4.7843174212017517E-2</v>
      </c>
      <c r="H20">
        <f t="shared" si="3"/>
        <v>0.16632400410000006</v>
      </c>
      <c r="I20">
        <f t="shared" si="4"/>
        <v>-1.3201800142823532</v>
      </c>
    </row>
    <row r="21" spans="1:9" x14ac:dyDescent="0.2">
      <c r="A21" s="43">
        <v>20</v>
      </c>
      <c r="B21" s="44">
        <v>16093.6744191</v>
      </c>
      <c r="C21" s="44">
        <v>17013.3023483</v>
      </c>
      <c r="D21" s="44">
        <f t="shared" si="0"/>
        <v>1.65475950290047</v>
      </c>
      <c r="E21" s="44">
        <f t="shared" si="1"/>
        <v>252.73213703583684</v>
      </c>
      <c r="F21">
        <f t="shared" si="2"/>
        <v>5.1763660588441909E-2</v>
      </c>
      <c r="H21">
        <f t="shared" si="3"/>
        <v>0.21873488382000009</v>
      </c>
      <c r="I21">
        <f t="shared" si="4"/>
        <v>-1.2859750191023536</v>
      </c>
    </row>
    <row r="22" spans="1:9" x14ac:dyDescent="0.2">
      <c r="A22" s="43">
        <v>21</v>
      </c>
      <c r="B22" s="44">
        <v>16421.9320343</v>
      </c>
      <c r="C22" s="44">
        <v>17231.2212693</v>
      </c>
      <c r="D22" s="44">
        <f t="shared" si="0"/>
        <v>1.9248035317180896</v>
      </c>
      <c r="E22" s="44">
        <f t="shared" si="1"/>
        <v>279.41148523499629</v>
      </c>
      <c r="F22">
        <f t="shared" si="2"/>
        <v>5.7228025908576556E-2</v>
      </c>
      <c r="H22">
        <f t="shared" si="3"/>
        <v>0.28438640686</v>
      </c>
      <c r="I22">
        <f t="shared" si="4"/>
        <v>-1.2423912349023536</v>
      </c>
    </row>
    <row r="23" spans="1:9" x14ac:dyDescent="0.2">
      <c r="A23" s="43">
        <v>22</v>
      </c>
      <c r="B23" s="44">
        <v>16739.155780000001</v>
      </c>
      <c r="C23" s="44">
        <v>17465.6909944</v>
      </c>
      <c r="D23" s="44">
        <f t="shared" si="0"/>
        <v>2.2275689518186699</v>
      </c>
      <c r="E23" s="44">
        <f t="shared" si="1"/>
        <v>311.27066884912745</v>
      </c>
      <c r="F23">
        <f t="shared" si="2"/>
        <v>6.3753305940505739E-2</v>
      </c>
      <c r="H23">
        <f t="shared" si="3"/>
        <v>0.34783115600000025</v>
      </c>
      <c r="I23">
        <f t="shared" si="4"/>
        <v>-1.1954972898823539</v>
      </c>
    </row>
    <row r="24" spans="1:9" x14ac:dyDescent="0.2">
      <c r="A24" s="43">
        <v>23</v>
      </c>
      <c r="B24" s="44">
        <v>16990.1763092</v>
      </c>
      <c r="C24" s="44">
        <v>17667.0591112</v>
      </c>
      <c r="D24" s="44">
        <f t="shared" si="0"/>
        <v>2.5005483814471758</v>
      </c>
      <c r="E24" s="44">
        <f t="shared" si="1"/>
        <v>341.51660320945149</v>
      </c>
      <c r="F24">
        <f t="shared" si="2"/>
        <v>6.994816623318828E-2</v>
      </c>
      <c r="H24">
        <f t="shared" si="3"/>
        <v>0.3980352618400001</v>
      </c>
      <c r="I24">
        <f t="shared" si="4"/>
        <v>-1.1552236665223539</v>
      </c>
    </row>
    <row r="25" spans="1:9" x14ac:dyDescent="0.2">
      <c r="A25" s="43">
        <v>24</v>
      </c>
      <c r="B25" s="44">
        <v>17257.747642599999</v>
      </c>
      <c r="C25" s="44">
        <v>17882.219564899999</v>
      </c>
      <c r="D25" s="44">
        <f t="shared" si="0"/>
        <v>2.8284566601247847</v>
      </c>
      <c r="E25" s="44">
        <f t="shared" si="1"/>
        <v>377.08904265087</v>
      </c>
      <c r="F25">
        <f t="shared" si="2"/>
        <v>7.7233981575648633E-2</v>
      </c>
      <c r="H25">
        <f t="shared" si="3"/>
        <v>0.45154952852000002</v>
      </c>
      <c r="I25">
        <f t="shared" si="4"/>
        <v>-1.1121915757823542</v>
      </c>
    </row>
    <row r="26" spans="1:9" x14ac:dyDescent="0.2">
      <c r="A26" s="43">
        <v>25</v>
      </c>
      <c r="B26" s="44">
        <v>17489.4589003</v>
      </c>
      <c r="C26" s="44">
        <v>18075.312279599999</v>
      </c>
      <c r="D26" s="44">
        <f t="shared" si="0"/>
        <v>3.1469640382033433</v>
      </c>
      <c r="E26" s="44">
        <f t="shared" si="1"/>
        <v>412.15678713211497</v>
      </c>
      <c r="F26">
        <f t="shared" si="2"/>
        <v>8.4416427164956384E-2</v>
      </c>
      <c r="H26">
        <f t="shared" si="3"/>
        <v>0.49789178006000007</v>
      </c>
      <c r="I26">
        <f t="shared" si="4"/>
        <v>-1.0735730328423541</v>
      </c>
    </row>
    <row r="27" spans="1:9" x14ac:dyDescent="0.2">
      <c r="A27" s="43">
        <v>26</v>
      </c>
      <c r="B27" s="44">
        <v>17701.8608866</v>
      </c>
      <c r="C27" s="44">
        <v>18279.438863799998</v>
      </c>
      <c r="D27" s="44">
        <f t="shared" si="0"/>
        <v>3.4703412087128918</v>
      </c>
      <c r="E27" s="44">
        <f t="shared" si="1"/>
        <v>452.78056050584337</v>
      </c>
      <c r="F27">
        <f t="shared" si="2"/>
        <v>9.2736838021298257E-2</v>
      </c>
      <c r="H27">
        <f t="shared" si="3"/>
        <v>0.54037217731999998</v>
      </c>
      <c r="I27">
        <f t="shared" si="4"/>
        <v>-1.0327477160023537</v>
      </c>
    </row>
    <row r="28" spans="1:9" x14ac:dyDescent="0.2">
      <c r="A28" s="43">
        <v>27</v>
      </c>
      <c r="B28" s="44">
        <v>17864.6104605</v>
      </c>
      <c r="C28" s="44">
        <v>18442.188437699999</v>
      </c>
      <c r="D28" s="44">
        <f t="shared" si="0"/>
        <v>3.7404348275399757</v>
      </c>
      <c r="E28" s="44">
        <f t="shared" si="1"/>
        <v>488.02007522979596</v>
      </c>
      <c r="F28">
        <f t="shared" si="2"/>
        <v>9.9954464955752706E-2</v>
      </c>
      <c r="H28">
        <f t="shared" si="3"/>
        <v>0.5729220921</v>
      </c>
      <c r="I28">
        <f t="shared" si="4"/>
        <v>-1.0001978012223538</v>
      </c>
    </row>
    <row r="29" spans="1:9" x14ac:dyDescent="0.2">
      <c r="A29" s="43">
        <v>28</v>
      </c>
      <c r="B29" s="44">
        <v>18021.843099599999</v>
      </c>
      <c r="C29" s="44">
        <v>18604.938011599999</v>
      </c>
      <c r="D29" s="44">
        <f t="shared" si="0"/>
        <v>4.0213198711530875</v>
      </c>
      <c r="E29" s="44">
        <f t="shared" si="1"/>
        <v>526.00225054101577</v>
      </c>
      <c r="F29">
        <f t="shared" si="2"/>
        <v>0.10773383347722368</v>
      </c>
      <c r="H29">
        <f t="shared" si="3"/>
        <v>0.60436861991999991</v>
      </c>
      <c r="I29">
        <f t="shared" si="4"/>
        <v>-0.96764788644235322</v>
      </c>
    </row>
    <row r="30" spans="1:9" x14ac:dyDescent="0.2">
      <c r="A30" s="43">
        <v>29</v>
      </c>
      <c r="B30" s="44">
        <v>18187.351140899998</v>
      </c>
      <c r="C30" s="44">
        <v>18795.272259099998</v>
      </c>
      <c r="D30" s="44">
        <f t="shared" si="0"/>
        <v>4.3398051232828605</v>
      </c>
      <c r="E30" s="44">
        <f t="shared" si="1"/>
        <v>574.18844941287193</v>
      </c>
      <c r="F30">
        <f t="shared" si="2"/>
        <v>0.11760315232485498</v>
      </c>
      <c r="H30">
        <f t="shared" si="3"/>
        <v>0.63747022817999988</v>
      </c>
      <c r="I30">
        <f t="shared" si="4"/>
        <v>-0.9295810369423535</v>
      </c>
    </row>
    <row r="31" spans="1:9" x14ac:dyDescent="0.2">
      <c r="A31" s="43">
        <v>30</v>
      </c>
      <c r="B31" s="44">
        <v>18352.859182100001</v>
      </c>
      <c r="C31" s="44">
        <v>18999.398843300001</v>
      </c>
      <c r="D31" s="44">
        <f t="shared" si="0"/>
        <v>4.6835141472603992</v>
      </c>
      <c r="E31" s="44">
        <f t="shared" si="1"/>
        <v>630.78269260140837</v>
      </c>
      <c r="F31">
        <f t="shared" si="2"/>
        <v>0.12919457567935994</v>
      </c>
      <c r="H31">
        <f t="shared" si="3"/>
        <v>0.67057183642000029</v>
      </c>
      <c r="I31">
        <f t="shared" si="4"/>
        <v>-0.88875572010235337</v>
      </c>
    </row>
    <row r="32" spans="1:9" x14ac:dyDescent="0.2">
      <c r="A32" s="43">
        <v>31</v>
      </c>
      <c r="B32" s="44">
        <v>18507.333353999999</v>
      </c>
      <c r="C32" s="44">
        <v>19192.491558099999</v>
      </c>
      <c r="D32" s="44">
        <f t="shared" si="0"/>
        <v>5.028826714842161</v>
      </c>
      <c r="E32" s="44">
        <f t="shared" si="1"/>
        <v>689.44291286081841</v>
      </c>
      <c r="F32">
        <f t="shared" si="2"/>
        <v>0.14120914480841684</v>
      </c>
      <c r="H32">
        <f t="shared" si="3"/>
        <v>0.7014666707999998</v>
      </c>
      <c r="I32">
        <f t="shared" si="4"/>
        <v>-0.85013717714235393</v>
      </c>
    </row>
    <row r="34" spans="1:1" x14ac:dyDescent="0.2">
      <c r="A34" s="43" t="s">
        <v>180</v>
      </c>
    </row>
    <row r="35" spans="1:1" x14ac:dyDescent="0.2">
      <c r="A35" s="43" t="s">
        <v>208</v>
      </c>
    </row>
  </sheetData>
  <sheetProtection password="E1DD" sheet="1" objects="1" scenarios="1"/>
  <phoneticPr fontId="0" type="noConversion"/>
  <pageMargins left="0.75" right="0.75" top="1" bottom="1" header="0.5" footer="0.5"/>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6"/>
  <sheetViews>
    <sheetView topLeftCell="A34" workbookViewId="0">
      <selection activeCell="A18" sqref="A18"/>
    </sheetView>
  </sheetViews>
  <sheetFormatPr defaultRowHeight="12.75" x14ac:dyDescent="0.2"/>
  <cols>
    <col min="2" max="2" width="12" bestFit="1" customWidth="1"/>
  </cols>
  <sheetData>
    <row r="1" spans="1:5" ht="15.75" x14ac:dyDescent="0.3">
      <c r="A1" t="s">
        <v>73</v>
      </c>
      <c r="B1" t="s">
        <v>168</v>
      </c>
      <c r="D1" t="s">
        <v>74</v>
      </c>
      <c r="E1" t="s">
        <v>169</v>
      </c>
    </row>
    <row r="2" spans="1:5" x14ac:dyDescent="0.2">
      <c r="A2">
        <v>8.7733333139800002E-2</v>
      </c>
      <c r="B2">
        <v>0.43299971768200002</v>
      </c>
      <c r="D2">
        <f>LOG10(A2)</f>
        <v>-1.0568353707357665</v>
      </c>
      <c r="E2">
        <f t="shared" ref="E2:E16" si="0">LOG10(B2)</f>
        <v>-0.36351238680873504</v>
      </c>
    </row>
    <row r="3" spans="1:5" x14ac:dyDescent="0.2">
      <c r="A3">
        <v>9.1439999999999994E-2</v>
      </c>
      <c r="B3">
        <v>0.453560083394</v>
      </c>
      <c r="D3">
        <f t="shared" ref="D3:D16" si="1">LOG10(A3)</f>
        <v>-1.0388637826127747</v>
      </c>
      <c r="E3">
        <f t="shared" si="0"/>
        <v>-0.34336517352548462</v>
      </c>
    </row>
    <row r="4" spans="1:5" x14ac:dyDescent="0.2">
      <c r="A4">
        <v>0.10075972623399999</v>
      </c>
      <c r="B4">
        <v>0.5</v>
      </c>
      <c r="D4">
        <f t="shared" si="1"/>
        <v>-0.99671302115828997</v>
      </c>
      <c r="E4">
        <f t="shared" si="0"/>
        <v>-0.3010299956639812</v>
      </c>
    </row>
    <row r="5" spans="1:5" x14ac:dyDescent="0.2">
      <c r="A5">
        <v>0.12192</v>
      </c>
      <c r="B5">
        <v>0.6</v>
      </c>
      <c r="D5">
        <f t="shared" si="1"/>
        <v>-0.91392504600447477</v>
      </c>
      <c r="E5">
        <f t="shared" si="0"/>
        <v>-0.22184874961635639</v>
      </c>
    </row>
    <row r="6" spans="1:5" x14ac:dyDescent="0.2">
      <c r="A6">
        <v>0.143819405988</v>
      </c>
      <c r="B6">
        <v>0.7</v>
      </c>
      <c r="D6">
        <f t="shared" si="1"/>
        <v>-0.84218250932951477</v>
      </c>
      <c r="E6">
        <f t="shared" si="0"/>
        <v>-0.15490195998574319</v>
      </c>
    </row>
    <row r="7" spans="1:5" x14ac:dyDescent="0.2">
      <c r="A7">
        <v>0.18287999999999999</v>
      </c>
      <c r="B7">
        <v>0.8</v>
      </c>
      <c r="D7">
        <f t="shared" si="1"/>
        <v>-0.73783378694879354</v>
      </c>
      <c r="E7">
        <f t="shared" si="0"/>
        <v>-9.6910013008056392E-2</v>
      </c>
    </row>
    <row r="8" spans="1:5" x14ac:dyDescent="0.2">
      <c r="A8">
        <v>0.24384</v>
      </c>
      <c r="B8">
        <v>0.97305384667299999</v>
      </c>
      <c r="D8">
        <f t="shared" si="1"/>
        <v>-0.61289505034049352</v>
      </c>
      <c r="E8">
        <f t="shared" si="0"/>
        <v>-1.1863126159299932E-2</v>
      </c>
    </row>
    <row r="9" spans="1:5" x14ac:dyDescent="0.2">
      <c r="A9">
        <v>0.30480000000000002</v>
      </c>
      <c r="B9">
        <v>1.1312717217799999</v>
      </c>
      <c r="D9">
        <f t="shared" si="1"/>
        <v>-0.51598503733243706</v>
      </c>
      <c r="E9">
        <f t="shared" si="0"/>
        <v>5.3566931270604953E-2</v>
      </c>
    </row>
    <row r="10" spans="1:5" x14ac:dyDescent="0.2">
      <c r="A10">
        <v>0.51908561567199996</v>
      </c>
      <c r="B10">
        <v>1.5</v>
      </c>
      <c r="D10">
        <f t="shared" si="1"/>
        <v>-0.28476100564403839</v>
      </c>
      <c r="E10">
        <f t="shared" si="0"/>
        <v>0.17609125905568124</v>
      </c>
    </row>
    <row r="11" spans="1:5" x14ac:dyDescent="0.2">
      <c r="A11">
        <v>0.91439999999999999</v>
      </c>
      <c r="B11">
        <v>1.7717606745300001</v>
      </c>
      <c r="D11">
        <f t="shared" si="1"/>
        <v>-3.8863782612774678E-2</v>
      </c>
      <c r="E11">
        <f t="shared" si="0"/>
        <v>0.24840505798527465</v>
      </c>
    </row>
    <row r="12" spans="1:5" x14ac:dyDescent="0.2">
      <c r="A12">
        <v>1.524</v>
      </c>
      <c r="B12">
        <v>2.0078265360700001</v>
      </c>
      <c r="D12">
        <f t="shared" si="1"/>
        <v>0.18298496700358169</v>
      </c>
      <c r="E12">
        <f t="shared" si="0"/>
        <v>0.30272618970717924</v>
      </c>
    </row>
    <row r="13" spans="1:5" x14ac:dyDescent="0.2">
      <c r="A13">
        <v>3.048</v>
      </c>
      <c r="B13">
        <v>2.43767055586</v>
      </c>
      <c r="D13">
        <f t="shared" si="1"/>
        <v>0.48401496266756289</v>
      </c>
      <c r="E13">
        <f t="shared" si="0"/>
        <v>0.38697501160237924</v>
      </c>
    </row>
    <row r="14" spans="1:5" x14ac:dyDescent="0.2">
      <c r="A14">
        <v>9.1440000000000001</v>
      </c>
      <c r="B14">
        <v>3.2154759639099999</v>
      </c>
      <c r="D14">
        <f t="shared" si="1"/>
        <v>0.96113621738722532</v>
      </c>
      <c r="E14">
        <f t="shared" si="0"/>
        <v>0.50724526752467403</v>
      </c>
    </row>
    <row r="15" spans="1:5" x14ac:dyDescent="0.2">
      <c r="A15">
        <v>121.92</v>
      </c>
      <c r="B15">
        <v>6.0546526415699997</v>
      </c>
      <c r="D15">
        <f t="shared" si="1"/>
        <v>2.0860749539955252</v>
      </c>
      <c r="E15">
        <f t="shared" si="0"/>
        <v>0.7820892325035721</v>
      </c>
    </row>
    <row r="16" spans="1:5" x14ac:dyDescent="0.2">
      <c r="A16">
        <v>1169.8002162</v>
      </c>
      <c r="B16">
        <v>10</v>
      </c>
      <c r="D16">
        <f t="shared" si="1"/>
        <v>3.0681116972926978</v>
      </c>
      <c r="E16">
        <f t="shared" si="0"/>
        <v>1</v>
      </c>
    </row>
  </sheetData>
  <sheetProtection password="E1DD" sheet="1" objects="1" scenarios="1"/>
  <phoneticPr fontId="0" type="noConversion"/>
  <pageMargins left="0.75" right="0.75" top="1" bottom="1" header="0.5" footer="0.5"/>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5" workbookViewId="0">
      <selection activeCell="A18" sqref="A18"/>
    </sheetView>
  </sheetViews>
  <sheetFormatPr defaultRowHeight="12.75" x14ac:dyDescent="0.2"/>
  <sheetData/>
  <sheetProtection password="E1DD" sheet="1" objects="1" scenarios="1"/>
  <phoneticPr fontId="0" type="noConversion"/>
  <pageMargins left="0.75" right="0.75" top="1" bottom="1" header="0.5" footer="0.5"/>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5" workbookViewId="0">
      <selection activeCell="A18" sqref="A18"/>
    </sheetView>
  </sheetViews>
  <sheetFormatPr defaultRowHeight="12.75" x14ac:dyDescent="0.2"/>
  <sheetData/>
  <sheetProtection password="E1DD" sheet="1" objects="1" scenarios="1"/>
  <phoneticPr fontId="0" type="noConversion"/>
  <pageMargins left="0.75" right="0.75" top="1" bottom="1" header="0.5" footer="0.5"/>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28"/>
  <sheetViews>
    <sheetView workbookViewId="0">
      <selection activeCell="A18" sqref="A18"/>
    </sheetView>
  </sheetViews>
  <sheetFormatPr defaultRowHeight="12.75" x14ac:dyDescent="0.2"/>
  <cols>
    <col min="2" max="3" width="14.7109375" bestFit="1" customWidth="1"/>
    <col min="4" max="4" width="20.7109375" customWidth="1"/>
    <col min="6" max="6" width="21.42578125" customWidth="1"/>
    <col min="7" max="7" width="10.7109375" customWidth="1"/>
    <col min="8" max="8" width="14.42578125" customWidth="1"/>
  </cols>
  <sheetData>
    <row r="1" spans="1:8" x14ac:dyDescent="0.2">
      <c r="A1" s="43" t="s">
        <v>75</v>
      </c>
      <c r="B1" s="44" t="s">
        <v>76</v>
      </c>
      <c r="C1" s="44" t="s">
        <v>77</v>
      </c>
      <c r="D1" s="44" t="s">
        <v>79</v>
      </c>
      <c r="E1" t="s">
        <v>78</v>
      </c>
      <c r="F1" t="s">
        <v>80</v>
      </c>
      <c r="G1" s="44" t="s">
        <v>85</v>
      </c>
      <c r="H1" s="44" t="s">
        <v>82</v>
      </c>
    </row>
    <row r="2" spans="1:8" x14ac:dyDescent="0.2">
      <c r="A2" s="43">
        <v>2</v>
      </c>
      <c r="B2" s="44">
        <v>1.99807349716</v>
      </c>
      <c r="C2" s="44">
        <v>10.53095842862</v>
      </c>
      <c r="D2" s="44">
        <f>10^((B2-12)*0.3)</f>
        <v>9.9867010408009036E-4</v>
      </c>
      <c r="E2">
        <f>D2*304.8</f>
        <v>0.30439464772361158</v>
      </c>
      <c r="F2">
        <f>10^((C2-10)/3.38496)</f>
        <v>1.4350205163330083</v>
      </c>
      <c r="G2">
        <f>LOG10(E2)</f>
        <v>-0.51656298818443758</v>
      </c>
      <c r="H2">
        <f t="shared" ref="H2:H28" si="0">LOG10(F2)</f>
        <v>0.15685811017560033</v>
      </c>
    </row>
    <row r="3" spans="1:8" x14ac:dyDescent="0.2">
      <c r="A3" s="43">
        <v>2</v>
      </c>
      <c r="B3" s="44">
        <v>2.3627060068699999</v>
      </c>
      <c r="C3" s="44">
        <v>10.622461930509999</v>
      </c>
      <c r="D3" s="44">
        <f t="shared" ref="D3:D28" si="1">10^((B3-12)*0.3)</f>
        <v>1.2847298122102885E-3</v>
      </c>
      <c r="E3">
        <f t="shared" ref="E3:E28" si="2">D3*304.8</f>
        <v>0.39158564676169594</v>
      </c>
      <c r="F3">
        <f t="shared" ref="F3:F28" si="3">10^((C3-10)/3.38496)</f>
        <v>1.5271808983122077</v>
      </c>
      <c r="G3">
        <f t="shared" ref="G3:G28" si="4">LOG10(E3)</f>
        <v>-0.40717323527143784</v>
      </c>
      <c r="H3">
        <f t="shared" si="0"/>
        <v>0.18389048334692265</v>
      </c>
    </row>
    <row r="4" spans="1:8" x14ac:dyDescent="0.2">
      <c r="A4" s="43">
        <v>2</v>
      </c>
      <c r="B4" s="44">
        <v>2.7938642169599999</v>
      </c>
      <c r="C4" s="44">
        <v>10.73943727782</v>
      </c>
      <c r="D4" s="44">
        <f t="shared" si="1"/>
        <v>1.7304508362533514E-3</v>
      </c>
      <c r="E4">
        <f t="shared" si="2"/>
        <v>0.5274414148900215</v>
      </c>
      <c r="F4">
        <f t="shared" si="3"/>
        <v>1.6536662498358137</v>
      </c>
      <c r="G4">
        <f t="shared" si="4"/>
        <v>-0.27782577224443744</v>
      </c>
      <c r="H4">
        <f t="shared" si="0"/>
        <v>0.21844786284623763</v>
      </c>
    </row>
    <row r="5" spans="1:8" x14ac:dyDescent="0.2">
      <c r="A5" s="43">
        <v>2</v>
      </c>
      <c r="B5" s="44">
        <v>3.0582127741599998</v>
      </c>
      <c r="C5" s="44">
        <v>10.81504917112</v>
      </c>
      <c r="D5" s="44">
        <f t="shared" si="1"/>
        <v>2.0771307363204625E-3</v>
      </c>
      <c r="E5">
        <f t="shared" si="2"/>
        <v>0.63310944843047701</v>
      </c>
      <c r="F5">
        <f t="shared" si="3"/>
        <v>1.7409466634063999</v>
      </c>
      <c r="G5">
        <f t="shared" si="4"/>
        <v>-0.1985212050844373</v>
      </c>
      <c r="H5">
        <f t="shared" si="0"/>
        <v>0.24078546603800344</v>
      </c>
    </row>
    <row r="6" spans="1:8" x14ac:dyDescent="0.2">
      <c r="A6" s="43">
        <v>2</v>
      </c>
      <c r="B6" s="44">
        <v>3.43136262223</v>
      </c>
      <c r="C6" s="44">
        <v>10.93247974256</v>
      </c>
      <c r="D6" s="44">
        <f t="shared" si="1"/>
        <v>2.6878732592824062E-3</v>
      </c>
      <c r="E6">
        <f t="shared" si="2"/>
        <v>0.81926376942927748</v>
      </c>
      <c r="F6">
        <f t="shared" si="3"/>
        <v>1.8857205325470738</v>
      </c>
      <c r="G6">
        <f t="shared" si="4"/>
        <v>-8.6576250663437257E-2</v>
      </c>
      <c r="H6">
        <f t="shared" si="0"/>
        <v>0.27547732988277557</v>
      </c>
    </row>
    <row r="7" spans="1:8" x14ac:dyDescent="0.2">
      <c r="A7" s="43">
        <v>2</v>
      </c>
      <c r="B7" s="44">
        <v>3.8580923330800001</v>
      </c>
      <c r="C7" s="44">
        <v>11.072719553640001</v>
      </c>
      <c r="D7" s="44">
        <f t="shared" si="1"/>
        <v>3.6093392136026859E-3</v>
      </c>
      <c r="E7">
        <f t="shared" si="2"/>
        <v>1.1001265923060988</v>
      </c>
      <c r="F7">
        <f t="shared" si="3"/>
        <v>2.0744721137390241</v>
      </c>
      <c r="G7">
        <f t="shared" si="4"/>
        <v>4.1442662591562776E-2</v>
      </c>
      <c r="H7">
        <f t="shared" si="0"/>
        <v>0.31690760116515432</v>
      </c>
    </row>
    <row r="8" spans="1:8" x14ac:dyDescent="0.2">
      <c r="A8" s="43">
        <v>2</v>
      </c>
      <c r="B8" s="44">
        <v>4.2928357474199998</v>
      </c>
      <c r="C8" s="44">
        <v>11.21496279059</v>
      </c>
      <c r="D8" s="44">
        <f t="shared" si="1"/>
        <v>4.8736094552280949E-3</v>
      </c>
      <c r="E8">
        <f t="shared" si="2"/>
        <v>1.4854761619535233</v>
      </c>
      <c r="F8">
        <f t="shared" si="3"/>
        <v>2.2852290355720353</v>
      </c>
      <c r="G8">
        <f t="shared" si="4"/>
        <v>0.17186568689356302</v>
      </c>
      <c r="H8">
        <f t="shared" si="0"/>
        <v>0.35892973346509277</v>
      </c>
    </row>
    <row r="9" spans="1:8" x14ac:dyDescent="0.2">
      <c r="A9" s="43">
        <v>2</v>
      </c>
      <c r="B9" s="44">
        <v>4.6935209219300003</v>
      </c>
      <c r="C9" s="44">
        <v>11.35119574992</v>
      </c>
      <c r="D9" s="44">
        <f t="shared" si="1"/>
        <v>6.4277100322341621E-3</v>
      </c>
      <c r="E9">
        <f t="shared" si="2"/>
        <v>1.9591660178249726</v>
      </c>
      <c r="F9">
        <f t="shared" si="3"/>
        <v>2.5071267041419811</v>
      </c>
      <c r="G9">
        <f t="shared" si="4"/>
        <v>0.29207123924656303</v>
      </c>
      <c r="H9">
        <f t="shared" si="0"/>
        <v>0.39917628270939703</v>
      </c>
    </row>
    <row r="10" spans="1:8" x14ac:dyDescent="0.2">
      <c r="A10" s="43">
        <v>2</v>
      </c>
      <c r="B10" s="44">
        <v>5.2404561851300002</v>
      </c>
      <c r="C10" s="44">
        <v>11.539517781940001</v>
      </c>
      <c r="D10" s="44">
        <f t="shared" si="1"/>
        <v>9.3785749944992405E-3</v>
      </c>
      <c r="E10">
        <f t="shared" si="2"/>
        <v>2.8585896583233685</v>
      </c>
      <c r="F10">
        <f t="shared" si="3"/>
        <v>2.8497792401546365</v>
      </c>
      <c r="G10">
        <f t="shared" si="4"/>
        <v>0.45615181820656264</v>
      </c>
      <c r="H10">
        <f t="shared" si="0"/>
        <v>0.45481121843094185</v>
      </c>
    </row>
    <row r="11" spans="1:8" x14ac:dyDescent="0.2">
      <c r="A11" s="43">
        <v>2</v>
      </c>
      <c r="B11" s="44">
        <v>5.3406274787600001</v>
      </c>
      <c r="C11" s="44">
        <v>11.57357602177</v>
      </c>
      <c r="D11" s="44">
        <f t="shared" si="1"/>
        <v>1.0050513323357711E-2</v>
      </c>
      <c r="E11">
        <f t="shared" si="2"/>
        <v>3.0633964609594302</v>
      </c>
      <c r="F11">
        <f t="shared" si="3"/>
        <v>2.9165730316956133</v>
      </c>
      <c r="G11">
        <f t="shared" si="4"/>
        <v>0.48620320629556291</v>
      </c>
      <c r="H11">
        <f t="shared" si="0"/>
        <v>0.46487285574127912</v>
      </c>
    </row>
    <row r="12" spans="1:8" x14ac:dyDescent="0.2">
      <c r="A12" s="43">
        <v>2</v>
      </c>
      <c r="B12" s="44">
        <v>5.6852167288300004</v>
      </c>
      <c r="C12" s="44">
        <v>11.689774722379999</v>
      </c>
      <c r="D12" s="44">
        <f t="shared" si="1"/>
        <v>1.275160991245494E-2</v>
      </c>
      <c r="E12">
        <f t="shared" si="2"/>
        <v>3.8866907013162661</v>
      </c>
      <c r="F12">
        <f t="shared" si="3"/>
        <v>3.1564636679506117</v>
      </c>
      <c r="G12">
        <f t="shared" si="4"/>
        <v>0.58957998131656308</v>
      </c>
      <c r="H12">
        <f t="shared" si="0"/>
        <v>0.49920079480407431</v>
      </c>
    </row>
    <row r="13" spans="1:8" x14ac:dyDescent="0.2">
      <c r="A13" s="43">
        <v>2</v>
      </c>
      <c r="B13" s="44">
        <v>6.0899087550799997</v>
      </c>
      <c r="C13" s="44">
        <v>11.830014533450001</v>
      </c>
      <c r="D13" s="44">
        <f t="shared" si="1"/>
        <v>1.686446725710122E-2</v>
      </c>
      <c r="E13">
        <f t="shared" si="2"/>
        <v>5.1402896199644523</v>
      </c>
      <c r="F13">
        <f t="shared" si="3"/>
        <v>3.472410542353757</v>
      </c>
      <c r="G13">
        <f t="shared" si="4"/>
        <v>0.7109875891915628</v>
      </c>
      <c r="H13">
        <f t="shared" si="0"/>
        <v>0.54063106608349909</v>
      </c>
    </row>
    <row r="14" spans="1:8" x14ac:dyDescent="0.2">
      <c r="A14" s="43">
        <v>2</v>
      </c>
      <c r="B14" s="44">
        <v>6.51263161419</v>
      </c>
      <c r="C14" s="44">
        <v>11.97626462215</v>
      </c>
      <c r="D14" s="44">
        <f t="shared" si="1"/>
        <v>2.258340818389596E-2</v>
      </c>
      <c r="E14">
        <f t="shared" si="2"/>
        <v>6.8834228144514888</v>
      </c>
      <c r="F14">
        <f t="shared" si="3"/>
        <v>3.8356318870277439</v>
      </c>
      <c r="G14">
        <f t="shared" si="4"/>
        <v>0.8378044469245628</v>
      </c>
      <c r="H14">
        <f t="shared" si="0"/>
        <v>0.58383692042151158</v>
      </c>
    </row>
    <row r="15" spans="1:8" x14ac:dyDescent="0.2">
      <c r="A15" s="43">
        <v>2</v>
      </c>
      <c r="B15" s="44">
        <v>6.9333510474200004</v>
      </c>
      <c r="C15" s="44">
        <v>12.12051128497</v>
      </c>
      <c r="D15" s="44">
        <f t="shared" si="1"/>
        <v>3.0199886741391926E-2</v>
      </c>
      <c r="E15">
        <f t="shared" si="2"/>
        <v>9.2049254787762589</v>
      </c>
      <c r="F15">
        <f t="shared" si="3"/>
        <v>4.2310768514396386</v>
      </c>
      <c r="G15">
        <f t="shared" si="4"/>
        <v>0.96402027689356284</v>
      </c>
      <c r="H15">
        <f t="shared" si="0"/>
        <v>0.62645091373901018</v>
      </c>
    </row>
    <row r="16" spans="1:8" x14ac:dyDescent="0.2">
      <c r="A16" s="43">
        <v>2</v>
      </c>
      <c r="B16" s="44">
        <v>7.3140019632</v>
      </c>
      <c r="C16" s="44">
        <v>12.246727114940001</v>
      </c>
      <c r="D16" s="44">
        <f t="shared" si="1"/>
        <v>3.928263294396904E-2</v>
      </c>
      <c r="E16">
        <f t="shared" si="2"/>
        <v>11.973346521321764</v>
      </c>
      <c r="F16">
        <f t="shared" si="3"/>
        <v>4.6103952368802767</v>
      </c>
      <c r="G16">
        <f t="shared" si="4"/>
        <v>1.0782155516275627</v>
      </c>
      <c r="H16">
        <f t="shared" si="0"/>
        <v>0.6637381578925603</v>
      </c>
    </row>
    <row r="17" spans="1:8" x14ac:dyDescent="0.2">
      <c r="A17" s="43">
        <v>2</v>
      </c>
      <c r="B17" s="44">
        <v>7.6882828852099996</v>
      </c>
      <c r="C17" s="44">
        <v>12.37507915188</v>
      </c>
      <c r="D17" s="44">
        <f t="shared" si="1"/>
        <v>5.0872709104673265E-2</v>
      </c>
      <c r="E17">
        <f t="shared" si="2"/>
        <v>15.506001735104412</v>
      </c>
      <c r="F17">
        <f t="shared" si="3"/>
        <v>5.0310251672387212</v>
      </c>
      <c r="G17">
        <f t="shared" si="4"/>
        <v>1.1904998282305626</v>
      </c>
      <c r="H17">
        <f t="shared" si="0"/>
        <v>0.70165648984921536</v>
      </c>
    </row>
    <row r="18" spans="1:8" x14ac:dyDescent="0.2">
      <c r="A18" s="43">
        <v>2</v>
      </c>
      <c r="B18" s="44">
        <v>8.0312284255699993</v>
      </c>
      <c r="C18" s="44">
        <v>12.49314849726</v>
      </c>
      <c r="D18" s="44">
        <f t="shared" si="1"/>
        <v>6.4471611784672478E-2</v>
      </c>
      <c r="E18">
        <f t="shared" si="2"/>
        <v>19.650947271968171</v>
      </c>
      <c r="F18">
        <f t="shared" si="3"/>
        <v>5.4517641962791492</v>
      </c>
      <c r="G18">
        <f t="shared" si="4"/>
        <v>1.2933834903385626</v>
      </c>
      <c r="H18">
        <f t="shared" si="0"/>
        <v>0.73653706314402545</v>
      </c>
    </row>
    <row r="19" spans="1:8" x14ac:dyDescent="0.2">
      <c r="A19" s="43">
        <v>2</v>
      </c>
      <c r="B19" s="44">
        <v>8.3748962847600001</v>
      </c>
      <c r="C19" s="44">
        <v>12.60613001015</v>
      </c>
      <c r="D19" s="44">
        <f t="shared" si="1"/>
        <v>8.1746446946233578E-2</v>
      </c>
      <c r="E19">
        <f t="shared" si="2"/>
        <v>24.916317029211996</v>
      </c>
      <c r="F19">
        <f t="shared" si="3"/>
        <v>5.8872783031061235</v>
      </c>
      <c r="G19">
        <f t="shared" si="4"/>
        <v>1.396483848095563</v>
      </c>
      <c r="H19">
        <f t="shared" si="0"/>
        <v>0.76991456624302801</v>
      </c>
    </row>
    <row r="20" spans="1:8" x14ac:dyDescent="0.2">
      <c r="A20" s="43">
        <v>2</v>
      </c>
      <c r="B20" s="44">
        <v>8.6763315565199992</v>
      </c>
      <c r="C20" s="44">
        <v>12.703508213879999</v>
      </c>
      <c r="D20" s="44">
        <f t="shared" si="1"/>
        <v>0.10066986053563091</v>
      </c>
      <c r="E20">
        <f t="shared" si="2"/>
        <v>30.684173491260303</v>
      </c>
      <c r="F20">
        <f t="shared" si="3"/>
        <v>6.2904609411754233</v>
      </c>
      <c r="G20">
        <f t="shared" si="4"/>
        <v>1.4869144296235626</v>
      </c>
      <c r="H20">
        <f t="shared" si="0"/>
        <v>0.79868247006759296</v>
      </c>
    </row>
    <row r="21" spans="1:8" x14ac:dyDescent="0.2">
      <c r="A21" s="43">
        <v>2</v>
      </c>
      <c r="B21" s="44">
        <v>9.0489687688099991</v>
      </c>
      <c r="C21" s="44">
        <v>12.831727469720001</v>
      </c>
      <c r="D21" s="44">
        <f t="shared" si="1"/>
        <v>0.13022387991113701</v>
      </c>
      <c r="E21">
        <f t="shared" si="2"/>
        <v>39.692238596914564</v>
      </c>
      <c r="F21">
        <f t="shared" si="3"/>
        <v>6.8637518731540732</v>
      </c>
      <c r="G21">
        <f t="shared" si="4"/>
        <v>1.5987055933105625</v>
      </c>
      <c r="H21">
        <f t="shared" si="0"/>
        <v>0.83656157523870323</v>
      </c>
    </row>
    <row r="22" spans="1:8" x14ac:dyDescent="0.2">
      <c r="A22" s="43">
        <v>2</v>
      </c>
      <c r="B22" s="44">
        <v>9.4817087572799998</v>
      </c>
      <c r="C22" s="44">
        <v>12.97797755841</v>
      </c>
      <c r="D22" s="44">
        <f t="shared" si="1"/>
        <v>0.17559519480506949</v>
      </c>
      <c r="E22">
        <f t="shared" si="2"/>
        <v>53.521415376585182</v>
      </c>
      <c r="F22">
        <f t="shared" si="3"/>
        <v>7.5817145547806062</v>
      </c>
      <c r="G22">
        <f t="shared" si="4"/>
        <v>1.7285275898515629</v>
      </c>
      <c r="H22">
        <f t="shared" si="0"/>
        <v>0.87976742957376164</v>
      </c>
    </row>
    <row r="23" spans="1:8" x14ac:dyDescent="0.2">
      <c r="A23" s="43">
        <v>2</v>
      </c>
      <c r="B23" s="44">
        <v>9.9505104114500007</v>
      </c>
      <c r="C23" s="44">
        <v>13.13023792473</v>
      </c>
      <c r="D23" s="44">
        <f t="shared" si="1"/>
        <v>0.24274658194826343</v>
      </c>
      <c r="E23">
        <f t="shared" si="2"/>
        <v>73.989158177830703</v>
      </c>
      <c r="F23">
        <f t="shared" si="3"/>
        <v>8.4090874119380885</v>
      </c>
      <c r="G23">
        <f t="shared" si="4"/>
        <v>1.869168086102563</v>
      </c>
      <c r="H23">
        <f t="shared" si="0"/>
        <v>0.92474886696740899</v>
      </c>
    </row>
    <row r="24" spans="1:8" x14ac:dyDescent="0.2">
      <c r="A24" s="43">
        <v>2</v>
      </c>
      <c r="B24" s="44">
        <v>10.469397712399999</v>
      </c>
      <c r="C24" s="44">
        <v>13.30453597564</v>
      </c>
      <c r="D24" s="44">
        <f t="shared" si="1"/>
        <v>0.34739160064906466</v>
      </c>
      <c r="E24">
        <f t="shared" si="2"/>
        <v>105.88495987783492</v>
      </c>
      <c r="F24">
        <f t="shared" si="3"/>
        <v>9.4676190657695507</v>
      </c>
      <c r="G24">
        <f t="shared" si="4"/>
        <v>2.0248342763875629</v>
      </c>
      <c r="H24">
        <f t="shared" si="0"/>
        <v>0.97624077556012512</v>
      </c>
    </row>
    <row r="25" spans="1:8" x14ac:dyDescent="0.2">
      <c r="A25" s="43">
        <v>2</v>
      </c>
      <c r="B25" s="44">
        <v>10.980271309900001</v>
      </c>
      <c r="C25" s="44">
        <v>13.47082032306</v>
      </c>
      <c r="D25" s="44">
        <f t="shared" si="1"/>
        <v>0.49440333652991347</v>
      </c>
      <c r="E25">
        <f t="shared" si="2"/>
        <v>150.69413697431764</v>
      </c>
      <c r="F25">
        <f t="shared" si="3"/>
        <v>10.601449284042101</v>
      </c>
      <c r="G25">
        <f t="shared" si="4"/>
        <v>2.178096355637563</v>
      </c>
      <c r="H25">
        <f t="shared" si="0"/>
        <v>1.0253652400796467</v>
      </c>
    </row>
    <row r="26" spans="1:8" x14ac:dyDescent="0.2">
      <c r="A26" s="43">
        <v>2</v>
      </c>
      <c r="B26" s="44">
        <v>11.3448948187</v>
      </c>
      <c r="C26" s="44">
        <v>13.59302930128</v>
      </c>
      <c r="D26" s="44">
        <f t="shared" si="1"/>
        <v>0.63601659231204588</v>
      </c>
      <c r="E26">
        <f t="shared" si="2"/>
        <v>193.85785733671159</v>
      </c>
      <c r="F26">
        <f t="shared" si="3"/>
        <v>11.520431930240232</v>
      </c>
      <c r="G26">
        <f t="shared" si="4"/>
        <v>2.2874834082775628</v>
      </c>
      <c r="H26">
        <f t="shared" si="0"/>
        <v>1.061468762195122</v>
      </c>
    </row>
    <row r="27" spans="1:8" x14ac:dyDescent="0.2">
      <c r="A27" s="43">
        <v>2</v>
      </c>
      <c r="B27" s="44">
        <v>11.6534224031</v>
      </c>
      <c r="C27" s="44">
        <v>13.697207446649999</v>
      </c>
      <c r="D27" s="44">
        <f t="shared" si="1"/>
        <v>0.78709421592043638</v>
      </c>
      <c r="E27">
        <f t="shared" si="2"/>
        <v>239.90631701254901</v>
      </c>
      <c r="F27">
        <f t="shared" si="3"/>
        <v>12.366463931330832</v>
      </c>
      <c r="G27">
        <f t="shared" si="4"/>
        <v>2.3800416835975629</v>
      </c>
      <c r="H27">
        <f t="shared" si="0"/>
        <v>1.0922455351466487</v>
      </c>
    </row>
    <row r="28" spans="1:8" x14ac:dyDescent="0.2">
      <c r="A28" s="43">
        <v>2</v>
      </c>
      <c r="B28" s="44">
        <v>11.996008227300001</v>
      </c>
      <c r="C28" s="44">
        <v>13.80939929552</v>
      </c>
      <c r="D28" s="44">
        <f t="shared" si="1"/>
        <v>0.99724637929352022</v>
      </c>
      <c r="E28">
        <f t="shared" si="2"/>
        <v>303.960696408665</v>
      </c>
      <c r="F28">
        <f t="shared" si="3"/>
        <v>13.3471872153155</v>
      </c>
      <c r="G28">
        <f t="shared" si="4"/>
        <v>2.4828174308575632</v>
      </c>
      <c r="H28">
        <f t="shared" si="0"/>
        <v>1.1253897521743241</v>
      </c>
    </row>
  </sheetData>
  <sheetProtection password="E1DD" sheet="1" objects="1" scenarios="1"/>
  <phoneticPr fontId="0"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8"/>
  <sheetViews>
    <sheetView workbookViewId="0">
      <selection activeCell="A18" sqref="A18"/>
    </sheetView>
  </sheetViews>
  <sheetFormatPr defaultRowHeight="12.75" x14ac:dyDescent="0.2"/>
  <cols>
    <col min="2" max="3" width="14.7109375" bestFit="1" customWidth="1"/>
    <col min="4" max="4" width="20.7109375" customWidth="1"/>
    <col min="6" max="6" width="21.42578125" customWidth="1"/>
  </cols>
  <sheetData>
    <row r="1" spans="1:8" x14ac:dyDescent="0.2">
      <c r="A1" s="43" t="s">
        <v>75</v>
      </c>
      <c r="B1" s="44" t="s">
        <v>76</v>
      </c>
      <c r="C1" s="44" t="s">
        <v>77</v>
      </c>
      <c r="D1" s="44" t="s">
        <v>79</v>
      </c>
      <c r="E1" t="s">
        <v>78</v>
      </c>
      <c r="F1" t="s">
        <v>80</v>
      </c>
      <c r="G1" s="44" t="s">
        <v>81</v>
      </c>
      <c r="H1" s="44" t="s">
        <v>82</v>
      </c>
    </row>
    <row r="2" spans="1:8" x14ac:dyDescent="0.2">
      <c r="A2" s="43">
        <v>5</v>
      </c>
      <c r="B2" s="44">
        <v>1.9971119049699999</v>
      </c>
      <c r="C2" s="44">
        <v>11.154925466970001</v>
      </c>
      <c r="D2" s="44">
        <f t="shared" ref="D2:D28" si="0">10^((B2-12)*0.3)</f>
        <v>9.9800696337139271E-4</v>
      </c>
      <c r="E2">
        <f t="shared" ref="E2:E28" si="1">D2*304.8</f>
        <v>0.30419252243560052</v>
      </c>
      <c r="F2">
        <f t="shared" ref="F2:F28" si="2">10^((C2-10)/3.38496)</f>
        <v>2.1937808403609598</v>
      </c>
      <c r="G2">
        <f>LOG10(E2)</f>
        <v>-0.5168514658414376</v>
      </c>
      <c r="H2">
        <f t="shared" ref="H2:H28" si="3">LOG10(F2)</f>
        <v>0.34119323920223604</v>
      </c>
    </row>
    <row r="3" spans="1:8" x14ac:dyDescent="0.2">
      <c r="A3" s="43">
        <v>5</v>
      </c>
      <c r="B3" s="44">
        <v>2.5043415681100001</v>
      </c>
      <c r="C3" s="44">
        <v>11.23180376847</v>
      </c>
      <c r="D3" s="44">
        <f t="shared" si="0"/>
        <v>1.4167801726825556E-3</v>
      </c>
      <c r="E3">
        <f t="shared" si="1"/>
        <v>0.43183459663364299</v>
      </c>
      <c r="F3">
        <f t="shared" si="2"/>
        <v>2.3115589337645139</v>
      </c>
      <c r="G3">
        <f t="shared" ref="G3:G28" si="4">LOG10(E3)</f>
        <v>-0.36468256689943762</v>
      </c>
      <c r="H3">
        <f t="shared" si="3"/>
        <v>0.36390497036006336</v>
      </c>
    </row>
    <row r="4" spans="1:8" x14ac:dyDescent="0.2">
      <c r="A4" s="43">
        <v>5</v>
      </c>
      <c r="B4" s="44">
        <v>3.2530693739899998</v>
      </c>
      <c r="C4" s="44">
        <v>11.35046375556</v>
      </c>
      <c r="D4" s="44">
        <f t="shared" si="0"/>
        <v>2.3764069410267684E-3</v>
      </c>
      <c r="E4">
        <f t="shared" si="1"/>
        <v>0.72432883562495909</v>
      </c>
      <c r="F4">
        <f t="shared" si="2"/>
        <v>2.5058786367252717</v>
      </c>
      <c r="G4">
        <f t="shared" si="4"/>
        <v>-0.14006422513543709</v>
      </c>
      <c r="H4">
        <f t="shared" si="3"/>
        <v>0.39896003366657218</v>
      </c>
    </row>
    <row r="5" spans="1:8" x14ac:dyDescent="0.2">
      <c r="A5" s="43">
        <v>5</v>
      </c>
      <c r="B5" s="44">
        <v>3.64917900323</v>
      </c>
      <c r="C5" s="44">
        <v>11.41091711168</v>
      </c>
      <c r="D5" s="44">
        <f t="shared" si="0"/>
        <v>3.1243069936228896E-3</v>
      </c>
      <c r="E5">
        <f t="shared" si="1"/>
        <v>0.95228877165625681</v>
      </c>
      <c r="F5">
        <f t="shared" si="2"/>
        <v>2.6110755261773098</v>
      </c>
      <c r="G5">
        <f t="shared" si="4"/>
        <v>-2.1231336363437475E-2</v>
      </c>
      <c r="H5">
        <f t="shared" si="3"/>
        <v>0.41681943410852712</v>
      </c>
    </row>
    <row r="6" spans="1:8" x14ac:dyDescent="0.2">
      <c r="A6" s="43">
        <v>5</v>
      </c>
      <c r="B6" s="44">
        <v>4.1226301624800001</v>
      </c>
      <c r="C6" s="44">
        <v>11.491442616220001</v>
      </c>
      <c r="D6" s="44">
        <f t="shared" si="0"/>
        <v>4.3330035888608214E-3</v>
      </c>
      <c r="E6">
        <f t="shared" si="1"/>
        <v>1.3206994938847785</v>
      </c>
      <c r="F6">
        <f t="shared" si="2"/>
        <v>2.7580912994981972</v>
      </c>
      <c r="G6">
        <f t="shared" si="4"/>
        <v>0.12080401141156284</v>
      </c>
      <c r="H6">
        <f t="shared" si="3"/>
        <v>0.44060863827637575</v>
      </c>
    </row>
    <row r="7" spans="1:8" x14ac:dyDescent="0.2">
      <c r="A7" s="43">
        <v>5</v>
      </c>
      <c r="B7" s="44">
        <v>4.4408514334599998</v>
      </c>
      <c r="C7" s="44">
        <v>11.551594197929999</v>
      </c>
      <c r="D7" s="44">
        <f t="shared" si="0"/>
        <v>5.3982802869484425E-3</v>
      </c>
      <c r="E7">
        <f t="shared" si="1"/>
        <v>1.6453958314618853</v>
      </c>
      <c r="F7">
        <f t="shared" si="2"/>
        <v>2.8732862011217803</v>
      </c>
      <c r="G7">
        <f t="shared" si="4"/>
        <v>0.2162703927055627</v>
      </c>
      <c r="H7">
        <f t="shared" si="3"/>
        <v>0.45837888717444208</v>
      </c>
    </row>
    <row r="8" spans="1:8" x14ac:dyDescent="0.2">
      <c r="A8" s="43">
        <v>5</v>
      </c>
      <c r="B8" s="44">
        <v>4.8958690434800003</v>
      </c>
      <c r="C8" s="44">
        <v>11.65394890552</v>
      </c>
      <c r="D8" s="44">
        <f t="shared" si="0"/>
        <v>7.3919788063873332E-3</v>
      </c>
      <c r="E8">
        <f t="shared" si="1"/>
        <v>2.2530751401868594</v>
      </c>
      <c r="F8">
        <f t="shared" si="2"/>
        <v>3.080469917290741</v>
      </c>
      <c r="G8">
        <f t="shared" si="4"/>
        <v>0.35277567571156293</v>
      </c>
      <c r="H8">
        <f t="shared" si="3"/>
        <v>0.4886169719937607</v>
      </c>
    </row>
    <row r="9" spans="1:8" x14ac:dyDescent="0.2">
      <c r="A9" s="43">
        <v>5</v>
      </c>
      <c r="B9" s="44">
        <v>5.2309888574799999</v>
      </c>
      <c r="C9" s="44">
        <v>11.738492256860001</v>
      </c>
      <c r="D9" s="44">
        <f t="shared" si="0"/>
        <v>9.3174411255843026E-3</v>
      </c>
      <c r="E9">
        <f t="shared" si="1"/>
        <v>2.8399560550780953</v>
      </c>
      <c r="F9">
        <f t="shared" si="2"/>
        <v>3.2628202305161746</v>
      </c>
      <c r="G9">
        <f t="shared" si="4"/>
        <v>0.4533116199115626</v>
      </c>
      <c r="H9">
        <f t="shared" si="3"/>
        <v>0.51359314640645715</v>
      </c>
    </row>
    <row r="10" spans="1:8" x14ac:dyDescent="0.2">
      <c r="A10" s="43">
        <v>5</v>
      </c>
      <c r="B10" s="44">
        <v>5.59266304358</v>
      </c>
      <c r="C10" s="44">
        <v>11.836371079499999</v>
      </c>
      <c r="D10" s="44">
        <f t="shared" si="0"/>
        <v>1.1961865450589916E-2</v>
      </c>
      <c r="E10">
        <f t="shared" si="1"/>
        <v>3.6459765893398068</v>
      </c>
      <c r="F10">
        <f t="shared" si="2"/>
        <v>3.4874576729157392</v>
      </c>
      <c r="G10">
        <f t="shared" si="4"/>
        <v>0.56181387574156283</v>
      </c>
      <c r="H10">
        <f t="shared" si="3"/>
        <v>0.54250894530511429</v>
      </c>
    </row>
    <row r="11" spans="1:8" x14ac:dyDescent="0.2">
      <c r="A11" s="43">
        <v>5</v>
      </c>
      <c r="B11" s="44">
        <v>5.93046434611</v>
      </c>
      <c r="C11" s="44">
        <v>11.934249902139999</v>
      </c>
      <c r="D11" s="44">
        <f t="shared" si="0"/>
        <v>1.5105646035490783E-2</v>
      </c>
      <c r="E11">
        <f t="shared" si="1"/>
        <v>4.6042009116175908</v>
      </c>
      <c r="F11">
        <f t="shared" si="2"/>
        <v>3.7275608709998731</v>
      </c>
      <c r="G11">
        <f t="shared" si="4"/>
        <v>0.66315426650056286</v>
      </c>
      <c r="H11">
        <f t="shared" si="3"/>
        <v>0.57142474420377187</v>
      </c>
    </row>
    <row r="12" spans="1:8" x14ac:dyDescent="0.2">
      <c r="A12" s="43">
        <v>5</v>
      </c>
      <c r="B12" s="44">
        <v>6.18351691196</v>
      </c>
      <c r="C12" s="44">
        <v>12.015417706279999</v>
      </c>
      <c r="D12" s="44">
        <f t="shared" si="0"/>
        <v>1.7990990473332486E-2</v>
      </c>
      <c r="E12">
        <f t="shared" si="1"/>
        <v>5.4836538962717416</v>
      </c>
      <c r="F12">
        <f t="shared" si="2"/>
        <v>3.9391607087087559</v>
      </c>
      <c r="G12">
        <f t="shared" si="4"/>
        <v>0.73907003625556289</v>
      </c>
      <c r="H12">
        <f t="shared" si="3"/>
        <v>0.59540369938788029</v>
      </c>
    </row>
    <row r="13" spans="1:8" x14ac:dyDescent="0.2">
      <c r="A13" s="43">
        <v>5</v>
      </c>
      <c r="B13" s="44">
        <v>6.6060669511699999</v>
      </c>
      <c r="C13" s="44">
        <v>12.15984865189</v>
      </c>
      <c r="D13" s="44">
        <f t="shared" si="0"/>
        <v>2.4089072868473133E-2</v>
      </c>
      <c r="E13">
        <f t="shared" si="1"/>
        <v>7.3423494103106117</v>
      </c>
      <c r="F13">
        <f t="shared" si="2"/>
        <v>4.34582400349474</v>
      </c>
      <c r="G13">
        <f t="shared" si="4"/>
        <v>0.86583504801856281</v>
      </c>
      <c r="H13">
        <f t="shared" si="3"/>
        <v>0.63807213435018451</v>
      </c>
    </row>
    <row r="14" spans="1:8" x14ac:dyDescent="0.2">
      <c r="A14" s="43">
        <v>5</v>
      </c>
      <c r="B14" s="44">
        <v>6.9474491862300001</v>
      </c>
      <c r="C14" s="44">
        <v>12.276825781379999</v>
      </c>
      <c r="D14" s="44">
        <f t="shared" si="0"/>
        <v>3.0495429604973444E-2</v>
      </c>
      <c r="E14">
        <f t="shared" si="1"/>
        <v>9.2950069435959062</v>
      </c>
      <c r="F14">
        <f t="shared" si="2"/>
        <v>4.7057628880580316</v>
      </c>
      <c r="G14">
        <f t="shared" si="4"/>
        <v>0.96824971853656294</v>
      </c>
      <c r="H14">
        <f t="shared" si="3"/>
        <v>0.67263004034907348</v>
      </c>
    </row>
    <row r="15" spans="1:8" x14ac:dyDescent="0.2">
      <c r="A15" s="43">
        <v>5</v>
      </c>
      <c r="B15" s="44">
        <v>7.3461263418599998</v>
      </c>
      <c r="C15" s="44">
        <v>12.41290121774</v>
      </c>
      <c r="D15" s="44">
        <f t="shared" si="0"/>
        <v>4.0164087316297455E-2</v>
      </c>
      <c r="E15">
        <f t="shared" si="1"/>
        <v>12.242013814007464</v>
      </c>
      <c r="F15">
        <f t="shared" si="2"/>
        <v>5.1621432662010625</v>
      </c>
      <c r="G15">
        <f t="shared" si="4"/>
        <v>1.0878528652255628</v>
      </c>
      <c r="H15">
        <f t="shared" si="3"/>
        <v>0.71283005345410289</v>
      </c>
    </row>
    <row r="16" spans="1:8" x14ac:dyDescent="0.2">
      <c r="A16" s="43">
        <v>5</v>
      </c>
      <c r="B16" s="44">
        <v>7.7089941721399997</v>
      </c>
      <c r="C16" s="44">
        <v>12.540621144839999</v>
      </c>
      <c r="D16" s="44">
        <f t="shared" si="0"/>
        <v>5.1605768714318184E-2</v>
      </c>
      <c r="E16">
        <f t="shared" si="1"/>
        <v>15.729438304124184</v>
      </c>
      <c r="F16">
        <f t="shared" si="2"/>
        <v>5.6306903496000267</v>
      </c>
      <c r="G16">
        <f t="shared" si="4"/>
        <v>1.1967132143095629</v>
      </c>
      <c r="H16">
        <f t="shared" si="3"/>
        <v>0.75056164469890319</v>
      </c>
    </row>
    <row r="17" spans="1:8" x14ac:dyDescent="0.2">
      <c r="A17" s="43">
        <v>5</v>
      </c>
      <c r="B17" s="44">
        <v>8.1112522603099997</v>
      </c>
      <c r="C17" s="44">
        <v>12.67908386955</v>
      </c>
      <c r="D17" s="44">
        <f t="shared" si="0"/>
        <v>6.8135849991675781E-2</v>
      </c>
      <c r="E17">
        <f t="shared" si="1"/>
        <v>20.767807077462781</v>
      </c>
      <c r="F17">
        <f t="shared" si="2"/>
        <v>6.1868120280619232</v>
      </c>
      <c r="G17">
        <f t="shared" si="4"/>
        <v>1.3173906407605627</v>
      </c>
      <c r="H17">
        <f t="shared" si="3"/>
        <v>0.79146692118961548</v>
      </c>
    </row>
    <row r="18" spans="1:8" x14ac:dyDescent="0.2">
      <c r="A18" s="43">
        <v>5</v>
      </c>
      <c r="B18" s="44">
        <v>8.4144378816599996</v>
      </c>
      <c r="C18" s="44">
        <v>12.78412455726</v>
      </c>
      <c r="D18" s="44">
        <f t="shared" si="0"/>
        <v>8.4010073466544419E-2</v>
      </c>
      <c r="E18">
        <f t="shared" si="1"/>
        <v>25.606270392602738</v>
      </c>
      <c r="F18">
        <f t="shared" si="2"/>
        <v>6.6450539346875299</v>
      </c>
      <c r="G18">
        <f t="shared" si="4"/>
        <v>1.4083463271655627</v>
      </c>
      <c r="H18">
        <f t="shared" si="3"/>
        <v>0.82249851025122911</v>
      </c>
    </row>
    <row r="19" spans="1:8" x14ac:dyDescent="0.2">
      <c r="A19" s="43">
        <v>5</v>
      </c>
      <c r="B19" s="44">
        <v>8.6770396009400006</v>
      </c>
      <c r="C19" s="44">
        <v>12.87245422648</v>
      </c>
      <c r="D19" s="44">
        <f t="shared" si="0"/>
        <v>0.1007191101830705</v>
      </c>
      <c r="E19">
        <f t="shared" si="1"/>
        <v>30.69918478379989</v>
      </c>
      <c r="F19">
        <f t="shared" si="2"/>
        <v>7.0565635263622433</v>
      </c>
      <c r="G19">
        <f t="shared" si="4"/>
        <v>1.487126842949563</v>
      </c>
      <c r="H19">
        <f t="shared" si="3"/>
        <v>0.8485932556012481</v>
      </c>
    </row>
    <row r="20" spans="1:8" x14ac:dyDescent="0.2">
      <c r="A20" s="43">
        <v>5</v>
      </c>
      <c r="B20" s="44">
        <v>9.1091387935700006</v>
      </c>
      <c r="C20" s="44">
        <v>13.02165974879</v>
      </c>
      <c r="D20" s="44">
        <f t="shared" si="0"/>
        <v>0.13575056257847989</v>
      </c>
      <c r="E20">
        <f t="shared" si="1"/>
        <v>41.376771473920677</v>
      </c>
      <c r="F20">
        <f t="shared" si="2"/>
        <v>7.8103809554250017</v>
      </c>
      <c r="G20">
        <f t="shared" si="4"/>
        <v>1.616756600738563</v>
      </c>
      <c r="H20">
        <f t="shared" si="3"/>
        <v>0.89267221733491697</v>
      </c>
    </row>
    <row r="21" spans="1:8" x14ac:dyDescent="0.2">
      <c r="A21" s="43">
        <v>5</v>
      </c>
      <c r="B21" s="44">
        <v>9.4564892495299997</v>
      </c>
      <c r="C21" s="44">
        <v>13.13983052247</v>
      </c>
      <c r="D21" s="44">
        <f t="shared" si="0"/>
        <v>0.17256263941693556</v>
      </c>
      <c r="E21">
        <f t="shared" si="1"/>
        <v>52.597092494281959</v>
      </c>
      <c r="F21">
        <f t="shared" si="2"/>
        <v>8.4641383802264727</v>
      </c>
      <c r="G21">
        <f t="shared" si="4"/>
        <v>1.7209617375265629</v>
      </c>
      <c r="H21">
        <f t="shared" si="3"/>
        <v>0.92758275503107857</v>
      </c>
    </row>
    <row r="22" spans="1:8" x14ac:dyDescent="0.2">
      <c r="A22" s="43">
        <v>5</v>
      </c>
      <c r="B22" s="44">
        <v>9.8682964911299997</v>
      </c>
      <c r="C22" s="44">
        <v>13.275905958819999</v>
      </c>
      <c r="D22" s="44">
        <f t="shared" si="0"/>
        <v>0.22934482621519292</v>
      </c>
      <c r="E22">
        <f t="shared" si="1"/>
        <v>69.904303030390807</v>
      </c>
      <c r="F22">
        <f t="shared" si="2"/>
        <v>9.2850183876166401</v>
      </c>
      <c r="G22">
        <f t="shared" si="4"/>
        <v>1.8445039100065628</v>
      </c>
      <c r="H22">
        <f t="shared" si="3"/>
        <v>0.96778276813315356</v>
      </c>
    </row>
    <row r="23" spans="1:8" x14ac:dyDescent="0.2">
      <c r="A23" s="43">
        <v>5</v>
      </c>
      <c r="B23" s="44">
        <v>10.3015893279</v>
      </c>
      <c r="C23" s="44">
        <v>13.422724192780001</v>
      </c>
      <c r="D23" s="44">
        <f t="shared" si="0"/>
        <v>0.30936900345837537</v>
      </c>
      <c r="E23">
        <f t="shared" si="1"/>
        <v>94.295672254112816</v>
      </c>
      <c r="F23">
        <f t="shared" si="2"/>
        <v>10.260215120200968</v>
      </c>
      <c r="G23">
        <f t="shared" si="4"/>
        <v>1.974491761037563</v>
      </c>
      <c r="H23">
        <f t="shared" si="3"/>
        <v>1.0111564664811405</v>
      </c>
    </row>
    <row r="24" spans="1:8" x14ac:dyDescent="0.2">
      <c r="A24" s="43">
        <v>5</v>
      </c>
      <c r="B24" s="44">
        <v>10.739332817099999</v>
      </c>
      <c r="C24" s="44">
        <v>13.57335550686</v>
      </c>
      <c r="D24" s="44">
        <f t="shared" si="0"/>
        <v>0.41860059868153521</v>
      </c>
      <c r="E24">
        <f t="shared" si="1"/>
        <v>127.58946247813194</v>
      </c>
      <c r="F24">
        <f t="shared" si="2"/>
        <v>11.367282205812858</v>
      </c>
      <c r="G24">
        <f t="shared" si="4"/>
        <v>2.1058148077975627</v>
      </c>
      <c r="H24">
        <f t="shared" si="3"/>
        <v>1.0556566419869069</v>
      </c>
    </row>
    <row r="25" spans="1:8" x14ac:dyDescent="0.2">
      <c r="A25" s="43">
        <v>5</v>
      </c>
      <c r="B25" s="44">
        <v>11.0974212536</v>
      </c>
      <c r="C25" s="44">
        <v>13.69532938055</v>
      </c>
      <c r="D25" s="44">
        <f t="shared" si="0"/>
        <v>0.5360760144224771</v>
      </c>
      <c r="E25">
        <f t="shared" si="1"/>
        <v>163.39596919597102</v>
      </c>
      <c r="F25">
        <f t="shared" si="2"/>
        <v>12.350675420383672</v>
      </c>
      <c r="G25">
        <f t="shared" si="4"/>
        <v>2.2132413387475629</v>
      </c>
      <c r="H25">
        <f t="shared" si="3"/>
        <v>1.0916907084721827</v>
      </c>
    </row>
    <row r="26" spans="1:8" x14ac:dyDescent="0.2">
      <c r="A26" s="43">
        <v>5</v>
      </c>
      <c r="B26" s="44">
        <v>11.5114610083</v>
      </c>
      <c r="C26" s="44">
        <v>13.832969623329999</v>
      </c>
      <c r="D26" s="44">
        <f t="shared" si="0"/>
        <v>0.71357282507801167</v>
      </c>
      <c r="E26">
        <f t="shared" si="1"/>
        <v>217.49699708377796</v>
      </c>
      <c r="F26">
        <f t="shared" si="2"/>
        <v>13.562913865668328</v>
      </c>
      <c r="G26">
        <f t="shared" si="4"/>
        <v>2.3374532651575626</v>
      </c>
      <c r="H26">
        <f t="shared" si="3"/>
        <v>1.1323530036780347</v>
      </c>
    </row>
    <row r="27" spans="1:8" x14ac:dyDescent="0.2">
      <c r="A27" s="43">
        <v>5</v>
      </c>
      <c r="B27" s="44">
        <v>11.7587658348</v>
      </c>
      <c r="C27" s="44">
        <v>13.914658547909999</v>
      </c>
      <c r="D27" s="44">
        <f t="shared" si="0"/>
        <v>0.84650543420531466</v>
      </c>
      <c r="E27">
        <f t="shared" si="1"/>
        <v>258.01485634577989</v>
      </c>
      <c r="F27">
        <f t="shared" si="2"/>
        <v>14.337912001526337</v>
      </c>
      <c r="G27">
        <f t="shared" si="4"/>
        <v>2.4116447131075627</v>
      </c>
      <c r="H27">
        <f t="shared" si="3"/>
        <v>1.1564859105897853</v>
      </c>
    </row>
    <row r="28" spans="1:8" x14ac:dyDescent="0.2">
      <c r="A28" s="43">
        <v>5</v>
      </c>
      <c r="B28" s="44">
        <v>11.9993565031</v>
      </c>
      <c r="C28" s="44">
        <v>13.9929903934</v>
      </c>
      <c r="D28" s="44">
        <f t="shared" si="0"/>
        <v>0.99955558686998391</v>
      </c>
      <c r="E28">
        <f t="shared" si="1"/>
        <v>304.66454287797109</v>
      </c>
      <c r="F28">
        <f t="shared" si="2"/>
        <v>15.122620516291825</v>
      </c>
      <c r="G28">
        <f t="shared" si="4"/>
        <v>2.4838219135975628</v>
      </c>
      <c r="H28">
        <f t="shared" si="3"/>
        <v>1.1796270542044811</v>
      </c>
    </row>
  </sheetData>
  <sheetProtection password="E1DD" sheet="1" objects="1" scenarios="1"/>
  <phoneticPr fontId="0"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28"/>
  <sheetViews>
    <sheetView workbookViewId="0">
      <selection activeCell="A18" sqref="A18"/>
    </sheetView>
  </sheetViews>
  <sheetFormatPr defaultRowHeight="12.75" x14ac:dyDescent="0.2"/>
  <cols>
    <col min="2" max="3" width="14.7109375" bestFit="1" customWidth="1"/>
    <col min="4" max="4" width="20.7109375" customWidth="1"/>
    <col min="6" max="6" width="21.42578125" customWidth="1"/>
  </cols>
  <sheetData>
    <row r="1" spans="1:8" x14ac:dyDescent="0.2">
      <c r="A1" s="43" t="s">
        <v>75</v>
      </c>
      <c r="B1" s="44" t="s">
        <v>76</v>
      </c>
      <c r="C1" s="44" t="s">
        <v>77</v>
      </c>
      <c r="D1" s="44" t="s">
        <v>79</v>
      </c>
      <c r="E1" t="s">
        <v>78</v>
      </c>
      <c r="F1" t="s">
        <v>80</v>
      </c>
      <c r="G1" s="44" t="s">
        <v>81</v>
      </c>
      <c r="H1" s="44" t="s">
        <v>82</v>
      </c>
    </row>
    <row r="2" spans="1:8" x14ac:dyDescent="0.2">
      <c r="A2" s="43">
        <v>10</v>
      </c>
      <c r="B2" s="44">
        <v>1.9968044998500001</v>
      </c>
      <c r="C2" s="44">
        <v>11.711346580700001</v>
      </c>
      <c r="D2" s="44">
        <f t="shared" ref="D2:D25" si="0">10^((B2-12)*0.3)</f>
        <v>9.9779506115385314E-4</v>
      </c>
      <c r="E2">
        <f t="shared" ref="E2:E25" si="1">D2*304.8</f>
        <v>0.30412793463969445</v>
      </c>
      <c r="F2">
        <f t="shared" ref="F2:F25" si="2">10^((C2-10)/3.38496)</f>
        <v>3.2031232479895957</v>
      </c>
      <c r="G2">
        <f>LOG10(E2)</f>
        <v>-0.51694368737743712</v>
      </c>
      <c r="H2">
        <f t="shared" ref="H2:H25" si="3">LOG10(F2)</f>
        <v>0.50557364952613948</v>
      </c>
    </row>
    <row r="3" spans="1:8" x14ac:dyDescent="0.2">
      <c r="A3" s="43">
        <v>10</v>
      </c>
      <c r="B3" s="44">
        <v>2.43071247469</v>
      </c>
      <c r="C3" s="44">
        <v>11.765795141590001</v>
      </c>
      <c r="D3" s="44">
        <f t="shared" si="0"/>
        <v>1.3465228958205329E-3</v>
      </c>
      <c r="E3">
        <f t="shared" si="1"/>
        <v>0.41042017864609848</v>
      </c>
      <c r="F3">
        <f t="shared" si="2"/>
        <v>3.3239852391768197</v>
      </c>
      <c r="G3">
        <f t="shared" ref="G3:G25" si="4">LOG10(E3)</f>
        <v>-0.38677129492543705</v>
      </c>
      <c r="H3">
        <f t="shared" si="3"/>
        <v>0.52165908654459769</v>
      </c>
    </row>
    <row r="4" spans="1:8" x14ac:dyDescent="0.2">
      <c r="A4" s="43">
        <v>10</v>
      </c>
      <c r="B4" s="44">
        <v>2.8392883976899999</v>
      </c>
      <c r="C4" s="44">
        <v>11.823559323810001</v>
      </c>
      <c r="D4" s="44">
        <f t="shared" si="0"/>
        <v>1.7856096293530426E-3</v>
      </c>
      <c r="E4">
        <f t="shared" si="1"/>
        <v>0.54425381502680736</v>
      </c>
      <c r="F4">
        <f t="shared" si="2"/>
        <v>3.4571962975386716</v>
      </c>
      <c r="G4">
        <f t="shared" si="4"/>
        <v>-0.26419851802543709</v>
      </c>
      <c r="H4">
        <f t="shared" si="3"/>
        <v>0.53872403922350653</v>
      </c>
    </row>
    <row r="5" spans="1:8" x14ac:dyDescent="0.2">
      <c r="A5" s="43">
        <v>10</v>
      </c>
      <c r="B5" s="44">
        <v>3.3211262103400001</v>
      </c>
      <c r="C5" s="44">
        <v>11.88977680098</v>
      </c>
      <c r="D5" s="44">
        <f t="shared" si="0"/>
        <v>2.4907942994411392E-3</v>
      </c>
      <c r="E5">
        <f t="shared" si="1"/>
        <v>0.75919410246965924</v>
      </c>
      <c r="F5">
        <f t="shared" si="2"/>
        <v>3.6164819515800155</v>
      </c>
      <c r="G5">
        <f t="shared" si="4"/>
        <v>-0.11964717423043704</v>
      </c>
      <c r="H5">
        <f t="shared" si="3"/>
        <v>0.55828630204788254</v>
      </c>
    </row>
    <row r="6" spans="1:8" x14ac:dyDescent="0.2">
      <c r="A6" s="43">
        <v>10</v>
      </c>
      <c r="B6" s="44">
        <v>3.9663943921899998</v>
      </c>
      <c r="C6" s="44">
        <v>11.97853639805</v>
      </c>
      <c r="D6" s="44">
        <f t="shared" si="0"/>
        <v>3.8897198005191026E-3</v>
      </c>
      <c r="E6">
        <f t="shared" si="1"/>
        <v>1.1855865951982225</v>
      </c>
      <c r="F6">
        <f t="shared" si="2"/>
        <v>3.8415638737254931</v>
      </c>
      <c r="G6">
        <f t="shared" si="4"/>
        <v>7.3933280324563089E-2</v>
      </c>
      <c r="H6">
        <f t="shared" si="3"/>
        <v>0.58450805860335142</v>
      </c>
    </row>
    <row r="7" spans="1:8" x14ac:dyDescent="0.2">
      <c r="A7" s="43">
        <v>10</v>
      </c>
      <c r="B7" s="44">
        <v>4.4299167324299997</v>
      </c>
      <c r="C7" s="44">
        <v>12.040527227749999</v>
      </c>
      <c r="D7" s="44">
        <f t="shared" si="0"/>
        <v>5.3576583980475372E-3</v>
      </c>
      <c r="E7">
        <f t="shared" si="1"/>
        <v>1.6330142797248894</v>
      </c>
      <c r="F7">
        <f t="shared" si="2"/>
        <v>4.0070214416435226</v>
      </c>
      <c r="G7">
        <f t="shared" si="4"/>
        <v>0.21298998239656275</v>
      </c>
      <c r="H7">
        <f t="shared" si="3"/>
        <v>0.60282166635647083</v>
      </c>
    </row>
    <row r="8" spans="1:8" x14ac:dyDescent="0.2">
      <c r="A8" s="43">
        <v>10</v>
      </c>
      <c r="B8" s="44">
        <v>4.9258433699999999</v>
      </c>
      <c r="C8" s="44">
        <v>12.113789117390001</v>
      </c>
      <c r="D8" s="44">
        <f t="shared" si="0"/>
        <v>7.5466291884461198E-3</v>
      </c>
      <c r="E8">
        <f t="shared" si="1"/>
        <v>2.3002125766383772</v>
      </c>
      <c r="F8">
        <f t="shared" si="2"/>
        <v>4.2117736284158473</v>
      </c>
      <c r="G8">
        <f t="shared" si="4"/>
        <v>0.36176797366756291</v>
      </c>
      <c r="H8">
        <f t="shared" si="3"/>
        <v>0.62446502097218304</v>
      </c>
    </row>
    <row r="9" spans="1:8" x14ac:dyDescent="0.2">
      <c r="A9" s="43">
        <v>10</v>
      </c>
      <c r="B9" s="44">
        <v>5.4344499500200003</v>
      </c>
      <c r="C9" s="44">
        <v>12.189868772020001</v>
      </c>
      <c r="D9" s="44">
        <f t="shared" si="0"/>
        <v>1.0723461206438245E-2</v>
      </c>
      <c r="E9">
        <f t="shared" si="1"/>
        <v>3.2685109757223771</v>
      </c>
      <c r="F9">
        <f t="shared" si="2"/>
        <v>4.4354819097813616</v>
      </c>
      <c r="G9">
        <f t="shared" si="4"/>
        <v>0.51434994767356301</v>
      </c>
      <c r="H9">
        <f t="shared" si="3"/>
        <v>0.6469408123050201</v>
      </c>
    </row>
    <row r="10" spans="1:8" x14ac:dyDescent="0.2">
      <c r="A10" s="43">
        <v>10</v>
      </c>
      <c r="B10" s="44">
        <v>5.8641591104200002</v>
      </c>
      <c r="C10" s="44">
        <v>12.26876619163</v>
      </c>
      <c r="D10" s="44">
        <f t="shared" si="0"/>
        <v>1.4429382071529849E-2</v>
      </c>
      <c r="E10">
        <f t="shared" si="1"/>
        <v>4.3980756554022982</v>
      </c>
      <c r="F10">
        <f t="shared" si="2"/>
        <v>4.6800343465458285</v>
      </c>
      <c r="G10">
        <f t="shared" si="4"/>
        <v>0.64326269579356266</v>
      </c>
      <c r="H10">
        <f t="shared" si="3"/>
        <v>0.67024904035202781</v>
      </c>
    </row>
    <row r="11" spans="1:8" x14ac:dyDescent="0.2">
      <c r="A11" s="43">
        <v>10</v>
      </c>
      <c r="B11" s="44">
        <v>6.2995038008000002</v>
      </c>
      <c r="C11" s="44">
        <v>12.358934671189999</v>
      </c>
      <c r="D11" s="44">
        <f t="shared" si="0"/>
        <v>1.9491763811345614E-2</v>
      </c>
      <c r="E11">
        <f t="shared" si="1"/>
        <v>5.9410896096981434</v>
      </c>
      <c r="F11">
        <f t="shared" si="2"/>
        <v>4.9760761205066339</v>
      </c>
      <c r="G11">
        <f t="shared" si="4"/>
        <v>0.77386610290756297</v>
      </c>
      <c r="H11">
        <f t="shared" si="3"/>
        <v>0.69688701526458208</v>
      </c>
    </row>
    <row r="12" spans="1:8" x14ac:dyDescent="0.2">
      <c r="A12" s="43">
        <v>10</v>
      </c>
      <c r="B12" s="44">
        <v>6.7123063712800004</v>
      </c>
      <c r="C12" s="44">
        <v>12.45332979823</v>
      </c>
      <c r="D12" s="44">
        <f t="shared" si="0"/>
        <v>2.5923397032234431E-2</v>
      </c>
      <c r="E12">
        <f t="shared" si="1"/>
        <v>7.901451415425055</v>
      </c>
      <c r="F12">
        <f t="shared" si="2"/>
        <v>5.3060781878562233</v>
      </c>
      <c r="G12">
        <f t="shared" si="4"/>
        <v>0.89770687405156269</v>
      </c>
      <c r="H12">
        <f t="shared" si="3"/>
        <v>0.72477364525134702</v>
      </c>
    </row>
    <row r="13" spans="1:8" x14ac:dyDescent="0.2">
      <c r="A13" s="43">
        <v>10</v>
      </c>
      <c r="B13" s="44">
        <v>7.11665564681</v>
      </c>
      <c r="C13" s="44">
        <v>12.56040486771</v>
      </c>
      <c r="D13" s="44">
        <f t="shared" si="0"/>
        <v>3.4276517732322154E-2</v>
      </c>
      <c r="E13">
        <f t="shared" si="1"/>
        <v>10.447482604811793</v>
      </c>
      <c r="F13">
        <f t="shared" si="2"/>
        <v>5.7069785530087902</v>
      </c>
      <c r="G13">
        <f t="shared" si="4"/>
        <v>1.0190116567105629</v>
      </c>
      <c r="H13">
        <f t="shared" si="3"/>
        <v>0.75640624046074412</v>
      </c>
    </row>
    <row r="14" spans="1:8" x14ac:dyDescent="0.2">
      <c r="A14" s="43">
        <v>10</v>
      </c>
      <c r="B14" s="44">
        <v>7.59285792948</v>
      </c>
      <c r="C14" s="44">
        <v>12.69988423453</v>
      </c>
      <c r="D14" s="44">
        <f t="shared" si="0"/>
        <v>4.7627455382045693E-2</v>
      </c>
      <c r="E14">
        <f t="shared" si="1"/>
        <v>14.516848400447527</v>
      </c>
      <c r="F14">
        <f t="shared" si="2"/>
        <v>6.2749729484498227</v>
      </c>
      <c r="G14">
        <f t="shared" si="4"/>
        <v>1.1618723415115628</v>
      </c>
      <c r="H14">
        <f t="shared" si="3"/>
        <v>0.79761185790378608</v>
      </c>
    </row>
    <row r="15" spans="1:8" x14ac:dyDescent="0.2">
      <c r="A15" s="43">
        <v>10</v>
      </c>
      <c r="B15" s="44">
        <v>7.9309897278300001</v>
      </c>
      <c r="C15" s="44">
        <v>12.811185951480001</v>
      </c>
      <c r="D15" s="44">
        <f t="shared" si="0"/>
        <v>6.0158488833413369E-2</v>
      </c>
      <c r="E15">
        <f t="shared" si="1"/>
        <v>18.336307396424395</v>
      </c>
      <c r="F15">
        <f t="shared" si="2"/>
        <v>6.7685105189074788</v>
      </c>
      <c r="G15">
        <f t="shared" si="4"/>
        <v>1.2633118810165629</v>
      </c>
      <c r="H15">
        <f t="shared" si="3"/>
        <v>0.83049310818443967</v>
      </c>
    </row>
    <row r="16" spans="1:8" x14ac:dyDescent="0.2">
      <c r="A16" s="43">
        <v>10</v>
      </c>
      <c r="B16" s="44">
        <v>8.3790143606500003</v>
      </c>
      <c r="C16" s="44">
        <v>12.968980790710001</v>
      </c>
      <c r="D16" s="44">
        <f t="shared" si="0"/>
        <v>8.1979319353390201E-2</v>
      </c>
      <c r="E16">
        <f t="shared" si="1"/>
        <v>24.987296538913334</v>
      </c>
      <c r="F16">
        <f t="shared" si="2"/>
        <v>7.5354564506574162</v>
      </c>
      <c r="G16">
        <f t="shared" si="4"/>
        <v>1.3977192708625628</v>
      </c>
      <c r="H16">
        <f t="shared" si="3"/>
        <v>0.87710956428140974</v>
      </c>
    </row>
    <row r="17" spans="1:8" x14ac:dyDescent="0.2">
      <c r="A17" s="43">
        <v>10</v>
      </c>
      <c r="B17" s="44">
        <v>8.8157679335099992</v>
      </c>
      <c r="C17" s="44">
        <v>13.12254898246</v>
      </c>
      <c r="D17" s="44">
        <f t="shared" si="0"/>
        <v>0.1108486427874868</v>
      </c>
      <c r="E17">
        <f t="shared" si="1"/>
        <v>33.786666321625979</v>
      </c>
      <c r="F17">
        <f t="shared" si="2"/>
        <v>8.365219965042435</v>
      </c>
      <c r="G17">
        <f t="shared" si="4"/>
        <v>1.5287453427205626</v>
      </c>
      <c r="H17">
        <f t="shared" si="3"/>
        <v>0.92247736530416891</v>
      </c>
    </row>
    <row r="18" spans="1:8" x14ac:dyDescent="0.2">
      <c r="A18" s="43">
        <v>10</v>
      </c>
      <c r="B18" s="44">
        <v>9.1947573241599994</v>
      </c>
      <c r="C18" s="44">
        <v>13.24934840685</v>
      </c>
      <c r="D18" s="44">
        <f t="shared" si="0"/>
        <v>0.14402145603162131</v>
      </c>
      <c r="E18">
        <f t="shared" si="1"/>
        <v>43.897739798438174</v>
      </c>
      <c r="F18">
        <f t="shared" si="2"/>
        <v>9.1187858685196037</v>
      </c>
      <c r="G18">
        <f t="shared" si="4"/>
        <v>1.6424421599155625</v>
      </c>
      <c r="H18">
        <f t="shared" si="3"/>
        <v>0.9599370175275338</v>
      </c>
    </row>
    <row r="19" spans="1:8" x14ac:dyDescent="0.2">
      <c r="A19" s="43">
        <v>10</v>
      </c>
      <c r="B19" s="44">
        <v>9.65264413443</v>
      </c>
      <c r="C19" s="44">
        <v>13.40009883361</v>
      </c>
      <c r="D19" s="44">
        <f t="shared" si="0"/>
        <v>0.19760286649813394</v>
      </c>
      <c r="E19">
        <f t="shared" si="1"/>
        <v>60.22935370863123</v>
      </c>
      <c r="F19">
        <f t="shared" si="2"/>
        <v>10.103512470372417</v>
      </c>
      <c r="G19">
        <f t="shared" si="4"/>
        <v>1.7798082029965629</v>
      </c>
      <c r="H19">
        <f t="shared" si="3"/>
        <v>1.004472381833168</v>
      </c>
    </row>
    <row r="20" spans="1:8" x14ac:dyDescent="0.2">
      <c r="A20" s="43">
        <v>10</v>
      </c>
      <c r="B20" s="44">
        <v>10.0302246426</v>
      </c>
      <c r="C20" s="44">
        <v>13.53253378796</v>
      </c>
      <c r="D20" s="44">
        <f t="shared" si="0"/>
        <v>0.25648820179010368</v>
      </c>
      <c r="E20">
        <f t="shared" si="1"/>
        <v>78.177603905623599</v>
      </c>
      <c r="F20">
        <f t="shared" si="2"/>
        <v>11.055971422975084</v>
      </c>
      <c r="G20">
        <f t="shared" si="4"/>
        <v>1.8930823554475629</v>
      </c>
      <c r="H20">
        <f t="shared" si="3"/>
        <v>1.0435969074848745</v>
      </c>
    </row>
    <row r="21" spans="1:8" x14ac:dyDescent="0.2">
      <c r="A21" s="43">
        <v>10</v>
      </c>
      <c r="B21" s="44">
        <v>10.465569332999999</v>
      </c>
      <c r="C21" s="44">
        <v>13.67623980226</v>
      </c>
      <c r="D21" s="44">
        <f t="shared" si="0"/>
        <v>0.34647411961061642</v>
      </c>
      <c r="E21">
        <f t="shared" si="1"/>
        <v>105.60531165731588</v>
      </c>
      <c r="F21">
        <f t="shared" si="2"/>
        <v>12.191332608158211</v>
      </c>
      <c r="G21">
        <f t="shared" si="4"/>
        <v>2.0236857625675628</v>
      </c>
      <c r="H21">
        <f t="shared" si="3"/>
        <v>1.0860511800021269</v>
      </c>
    </row>
    <row r="22" spans="1:8" x14ac:dyDescent="0.2">
      <c r="A22" s="43">
        <v>10</v>
      </c>
      <c r="B22" s="44">
        <v>10.862874196</v>
      </c>
      <c r="C22" s="44">
        <v>13.810083639109999</v>
      </c>
      <c r="D22" s="44">
        <f t="shared" si="0"/>
        <v>0.45589230183696317</v>
      </c>
      <c r="E22">
        <f t="shared" si="1"/>
        <v>138.95597359990637</v>
      </c>
      <c r="F22">
        <f t="shared" si="2"/>
        <v>13.353402015836064</v>
      </c>
      <c r="G22">
        <f t="shared" si="4"/>
        <v>2.1428772214675629</v>
      </c>
      <c r="H22">
        <f t="shared" si="3"/>
        <v>1.1255919240138732</v>
      </c>
    </row>
    <row r="23" spans="1:8" x14ac:dyDescent="0.2">
      <c r="A23" s="43">
        <v>10</v>
      </c>
      <c r="B23" s="44">
        <v>11.281312296499999</v>
      </c>
      <c r="C23" s="44">
        <v>13.952380770910001</v>
      </c>
      <c r="D23" s="44">
        <f t="shared" si="0"/>
        <v>0.60868652700257941</v>
      </c>
      <c r="E23">
        <f t="shared" si="1"/>
        <v>185.52765343038621</v>
      </c>
      <c r="F23">
        <f t="shared" si="2"/>
        <v>14.710586164819519</v>
      </c>
      <c r="G23">
        <f t="shared" si="4"/>
        <v>2.2684086516175626</v>
      </c>
      <c r="H23">
        <f t="shared" si="3"/>
        <v>1.1676299781710866</v>
      </c>
    </row>
    <row r="24" spans="1:8" x14ac:dyDescent="0.2">
      <c r="A24" s="43">
        <v>10</v>
      </c>
      <c r="B24" s="44">
        <v>11.6208529773</v>
      </c>
      <c r="C24" s="44">
        <v>14.066500252859999</v>
      </c>
      <c r="D24" s="44">
        <f t="shared" si="0"/>
        <v>0.76958375766643838</v>
      </c>
      <c r="E24">
        <f t="shared" si="1"/>
        <v>234.56912933673044</v>
      </c>
      <c r="F24">
        <f t="shared" si="2"/>
        <v>15.898042922059233</v>
      </c>
      <c r="G24">
        <f t="shared" si="4"/>
        <v>2.3702708558575631</v>
      </c>
      <c r="H24">
        <f t="shared" si="3"/>
        <v>1.2013436651718186</v>
      </c>
    </row>
    <row r="25" spans="1:8" x14ac:dyDescent="0.2">
      <c r="A25" s="43">
        <v>10</v>
      </c>
      <c r="B25" s="44">
        <v>12.001251250499999</v>
      </c>
      <c r="C25" s="44">
        <v>14.186255264770001</v>
      </c>
      <c r="D25" s="44">
        <f t="shared" si="0"/>
        <v>1.0008647068682746</v>
      </c>
      <c r="E25">
        <f t="shared" si="1"/>
        <v>305.06356265345011</v>
      </c>
      <c r="F25">
        <f t="shared" si="2"/>
        <v>17.247344004051655</v>
      </c>
      <c r="G25">
        <f t="shared" si="4"/>
        <v>2.4843903378175627</v>
      </c>
      <c r="H25">
        <f t="shared" si="3"/>
        <v>1.2367222256008938</v>
      </c>
    </row>
    <row r="26" spans="1:8" x14ac:dyDescent="0.2">
      <c r="D26" s="44"/>
    </row>
    <row r="27" spans="1:8" x14ac:dyDescent="0.2">
      <c r="D27" s="44"/>
    </row>
    <row r="28" spans="1:8" x14ac:dyDescent="0.2">
      <c r="D28" s="44"/>
    </row>
  </sheetData>
  <sheetProtection password="E1DD" sheet="1" objects="1" scenarios="1"/>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tabSelected="1" workbookViewId="0">
      <selection activeCell="B20" sqref="B20"/>
    </sheetView>
  </sheetViews>
  <sheetFormatPr defaultRowHeight="12.75" x14ac:dyDescent="0.2"/>
  <cols>
    <col min="1" max="1" width="48.7109375" customWidth="1"/>
    <col min="2" max="2" width="10" bestFit="1" customWidth="1"/>
    <col min="3" max="3" width="54.7109375" customWidth="1"/>
    <col min="4" max="7" width="3.28515625" bestFit="1" customWidth="1"/>
    <col min="8" max="10" width="3.28515625" customWidth="1"/>
    <col min="11" max="11" width="4.42578125" customWidth="1"/>
    <col min="12" max="14" width="3.28515625" bestFit="1" customWidth="1"/>
    <col min="15" max="15" width="3.85546875" customWidth="1"/>
    <col min="16" max="16" width="4" customWidth="1"/>
    <col min="17" max="17" width="3.28515625" bestFit="1" customWidth="1"/>
    <col min="18" max="18" width="4.42578125" customWidth="1"/>
    <col min="19" max="19" width="3.28515625" bestFit="1" customWidth="1"/>
    <col min="20" max="20" width="3.5703125" customWidth="1"/>
  </cols>
  <sheetData>
    <row r="1" spans="1:20" x14ac:dyDescent="0.2">
      <c r="A1" t="s">
        <v>438</v>
      </c>
    </row>
    <row r="2" spans="1:20" ht="24.75" customHeight="1" x14ac:dyDescent="0.2">
      <c r="D2" s="116" t="s">
        <v>339</v>
      </c>
      <c r="E2" s="116"/>
      <c r="F2" s="116"/>
      <c r="G2" s="116"/>
      <c r="H2" s="116"/>
      <c r="I2" s="116"/>
      <c r="J2" s="116"/>
      <c r="K2" s="116"/>
      <c r="L2" s="116"/>
      <c r="M2" s="116"/>
      <c r="N2" s="116"/>
      <c r="O2" s="116"/>
      <c r="P2" s="116"/>
      <c r="Q2" s="116"/>
      <c r="R2" s="116"/>
      <c r="S2" s="116"/>
      <c r="T2" s="116"/>
    </row>
    <row r="3" spans="1:20" ht="12.75" customHeight="1" x14ac:dyDescent="0.2">
      <c r="A3" t="s">
        <v>286</v>
      </c>
      <c r="D3" s="116" t="s">
        <v>264</v>
      </c>
      <c r="E3" s="116"/>
      <c r="F3" s="116"/>
      <c r="G3" s="116"/>
      <c r="H3" s="116"/>
      <c r="I3" s="116"/>
      <c r="J3" s="116"/>
      <c r="L3" s="115" t="s">
        <v>282</v>
      </c>
      <c r="M3" s="115"/>
      <c r="N3" s="115"/>
      <c r="O3" s="115"/>
      <c r="Q3" s="114" t="s">
        <v>186</v>
      </c>
      <c r="R3" s="114"/>
      <c r="S3" s="114"/>
      <c r="T3" s="114"/>
    </row>
    <row r="4" spans="1:20" ht="136.5" customHeight="1" x14ac:dyDescent="0.2">
      <c r="A4" s="38" t="s">
        <v>70</v>
      </c>
      <c r="B4" s="38" t="s">
        <v>1</v>
      </c>
      <c r="C4" s="39" t="s">
        <v>69</v>
      </c>
      <c r="D4" s="85" t="s">
        <v>274</v>
      </c>
      <c r="E4" s="85" t="s">
        <v>0</v>
      </c>
      <c r="F4" s="85" t="s">
        <v>275</v>
      </c>
      <c r="G4" s="85" t="s">
        <v>10</v>
      </c>
      <c r="H4" s="85" t="s">
        <v>68</v>
      </c>
      <c r="I4" s="85" t="s">
        <v>382</v>
      </c>
      <c r="J4" s="85" t="s">
        <v>92</v>
      </c>
      <c r="K4" s="85" t="s">
        <v>278</v>
      </c>
      <c r="L4" s="85" t="s">
        <v>274</v>
      </c>
      <c r="M4" s="85" t="s">
        <v>283</v>
      </c>
      <c r="N4" s="85" t="s">
        <v>284</v>
      </c>
      <c r="O4" s="85" t="s">
        <v>285</v>
      </c>
      <c r="P4" s="85" t="s">
        <v>276</v>
      </c>
      <c r="Q4" s="86" t="s">
        <v>279</v>
      </c>
      <c r="R4" s="86" t="s">
        <v>280</v>
      </c>
      <c r="S4" s="86" t="s">
        <v>281</v>
      </c>
      <c r="T4" s="86" t="s">
        <v>175</v>
      </c>
    </row>
    <row r="5" spans="1:20" x14ac:dyDescent="0.2">
      <c r="A5" t="s">
        <v>122</v>
      </c>
      <c r="B5" s="103">
        <v>3180</v>
      </c>
      <c r="C5" t="s">
        <v>32</v>
      </c>
      <c r="E5" t="s">
        <v>97</v>
      </c>
      <c r="F5" t="s">
        <v>97</v>
      </c>
      <c r="G5" t="s">
        <v>97</v>
      </c>
      <c r="I5" t="s">
        <v>97</v>
      </c>
    </row>
    <row r="6" spans="1:20" x14ac:dyDescent="0.2">
      <c r="A6" t="s">
        <v>332</v>
      </c>
      <c r="B6" s="103">
        <v>119.72</v>
      </c>
      <c r="C6" t="s">
        <v>222</v>
      </c>
      <c r="E6" t="s">
        <v>97</v>
      </c>
      <c r="F6" t="s">
        <v>97</v>
      </c>
      <c r="I6" t="s">
        <v>97</v>
      </c>
      <c r="L6" t="s">
        <v>306</v>
      </c>
      <c r="O6" t="s">
        <v>97</v>
      </c>
    </row>
    <row r="7" spans="1:20" x14ac:dyDescent="0.2">
      <c r="A7" t="s">
        <v>472</v>
      </c>
      <c r="B7" s="103">
        <v>3.99</v>
      </c>
      <c r="C7" t="s">
        <v>222</v>
      </c>
      <c r="D7" t="s">
        <v>97</v>
      </c>
      <c r="G7" t="s">
        <v>97</v>
      </c>
      <c r="H7" t="s">
        <v>97</v>
      </c>
      <c r="J7" t="s">
        <v>97</v>
      </c>
      <c r="K7" t="s">
        <v>97</v>
      </c>
    </row>
    <row r="8" spans="1:20" x14ac:dyDescent="0.2">
      <c r="A8" t="s">
        <v>473</v>
      </c>
      <c r="B8" s="103">
        <v>2.13</v>
      </c>
      <c r="C8" s="1" t="s">
        <v>294</v>
      </c>
      <c r="L8" t="s">
        <v>306</v>
      </c>
      <c r="P8" t="s">
        <v>97</v>
      </c>
    </row>
    <row r="9" spans="1:20" x14ac:dyDescent="0.2">
      <c r="A9" t="s">
        <v>474</v>
      </c>
      <c r="B9" s="113">
        <v>3.99</v>
      </c>
      <c r="C9" t="s">
        <v>222</v>
      </c>
      <c r="D9" t="s">
        <v>97</v>
      </c>
      <c r="K9" t="s">
        <v>97</v>
      </c>
      <c r="O9" t="s">
        <v>97</v>
      </c>
    </row>
    <row r="10" spans="1:20" x14ac:dyDescent="0.2">
      <c r="A10" t="s">
        <v>475</v>
      </c>
      <c r="B10" s="103">
        <v>12.41</v>
      </c>
      <c r="C10" t="s">
        <v>109</v>
      </c>
      <c r="D10" t="s">
        <v>97</v>
      </c>
      <c r="H10" t="s">
        <v>97</v>
      </c>
      <c r="K10" t="s">
        <v>97</v>
      </c>
      <c r="L10" t="s">
        <v>306</v>
      </c>
    </row>
    <row r="11" spans="1:20" x14ac:dyDescent="0.2">
      <c r="A11" t="s">
        <v>385</v>
      </c>
      <c r="B11" s="103">
        <v>5.94</v>
      </c>
      <c r="C11" t="s">
        <v>33</v>
      </c>
      <c r="E11" t="s">
        <v>97</v>
      </c>
      <c r="R11" t="s">
        <v>97</v>
      </c>
      <c r="S11" t="s">
        <v>97</v>
      </c>
      <c r="T11" t="s">
        <v>97</v>
      </c>
    </row>
    <row r="12" spans="1:20" x14ac:dyDescent="0.2">
      <c r="A12" t="s">
        <v>228</v>
      </c>
      <c r="B12" s="103">
        <v>8620</v>
      </c>
      <c r="C12" t="s">
        <v>32</v>
      </c>
      <c r="E12" t="s">
        <v>97</v>
      </c>
      <c r="Q12" t="s">
        <v>97</v>
      </c>
    </row>
    <row r="13" spans="1:20" x14ac:dyDescent="0.2">
      <c r="A13" t="s">
        <v>386</v>
      </c>
      <c r="B13" s="103">
        <v>177.22</v>
      </c>
      <c r="C13" t="s">
        <v>33</v>
      </c>
      <c r="E13" t="s">
        <v>97</v>
      </c>
      <c r="Q13" t="s">
        <v>97</v>
      </c>
    </row>
    <row r="14" spans="1:20" x14ac:dyDescent="0.2">
      <c r="A14" t="s">
        <v>34</v>
      </c>
      <c r="B14" s="103">
        <v>1.5900000000000001E-2</v>
      </c>
      <c r="C14" t="s">
        <v>108</v>
      </c>
      <c r="D14" t="s">
        <v>97</v>
      </c>
      <c r="P14" t="s">
        <v>97</v>
      </c>
    </row>
    <row r="15" spans="1:20" x14ac:dyDescent="0.2">
      <c r="A15" t="s">
        <v>99</v>
      </c>
      <c r="B15" s="103">
        <v>2.5000000000000001E-2</v>
      </c>
      <c r="L15" t="s">
        <v>306</v>
      </c>
      <c r="R15" t="s">
        <v>97</v>
      </c>
    </row>
    <row r="16" spans="1:20" x14ac:dyDescent="0.2">
      <c r="B16" s="103"/>
    </row>
    <row r="17" spans="1:26" x14ac:dyDescent="0.2">
      <c r="A17" s="91" t="s">
        <v>401</v>
      </c>
      <c r="B17" s="101"/>
      <c r="C17" s="4"/>
    </row>
    <row r="18" spans="1:26" x14ac:dyDescent="0.2">
      <c r="A18" s="5" t="s">
        <v>123</v>
      </c>
      <c r="B18" s="104">
        <v>119.72</v>
      </c>
      <c r="C18" s="7" t="s">
        <v>326</v>
      </c>
      <c r="L18" t="s">
        <v>97</v>
      </c>
      <c r="N18" t="s">
        <v>97</v>
      </c>
    </row>
    <row r="19" spans="1:26" x14ac:dyDescent="0.2">
      <c r="A19" s="5" t="s">
        <v>107</v>
      </c>
      <c r="B19" s="104">
        <v>3.99</v>
      </c>
      <c r="C19" s="7" t="s">
        <v>326</v>
      </c>
      <c r="L19" t="s">
        <v>97</v>
      </c>
      <c r="M19" t="s">
        <v>97</v>
      </c>
      <c r="N19" t="s">
        <v>97</v>
      </c>
      <c r="O19" t="s">
        <v>97</v>
      </c>
    </row>
    <row r="20" spans="1:26" x14ac:dyDescent="0.2">
      <c r="A20" s="5" t="s">
        <v>42</v>
      </c>
      <c r="B20" s="104">
        <v>3.99</v>
      </c>
      <c r="C20" s="7" t="s">
        <v>326</v>
      </c>
      <c r="L20" t="s">
        <v>97</v>
      </c>
    </row>
    <row r="21" spans="1:26" x14ac:dyDescent="0.2">
      <c r="A21" s="5" t="s">
        <v>51</v>
      </c>
      <c r="B21" s="104">
        <v>177</v>
      </c>
      <c r="C21" s="7" t="s">
        <v>402</v>
      </c>
      <c r="M21" t="s">
        <v>97</v>
      </c>
    </row>
    <row r="22" spans="1:26" x14ac:dyDescent="0.2">
      <c r="A22" s="5" t="s">
        <v>72</v>
      </c>
      <c r="B22" s="104">
        <v>10.07</v>
      </c>
      <c r="C22" s="7" t="s">
        <v>326</v>
      </c>
      <c r="L22" t="s">
        <v>97</v>
      </c>
    </row>
    <row r="23" spans="1:26" x14ac:dyDescent="0.2">
      <c r="A23" s="47" t="s">
        <v>34</v>
      </c>
      <c r="B23" s="105">
        <v>1.5900000000000001E-2</v>
      </c>
      <c r="C23" s="48" t="s">
        <v>403</v>
      </c>
      <c r="L23" t="s">
        <v>97</v>
      </c>
    </row>
    <row r="25" spans="1:26" ht="12.75" customHeight="1" x14ac:dyDescent="0.2">
      <c r="A25" s="15" t="s">
        <v>216</v>
      </c>
      <c r="B25" s="103">
        <v>70</v>
      </c>
      <c r="C25" s="1" t="s">
        <v>223</v>
      </c>
      <c r="P25" t="s">
        <v>97</v>
      </c>
      <c r="T25" t="s">
        <v>97</v>
      </c>
      <c r="X25" t="s">
        <v>324</v>
      </c>
    </row>
    <row r="26" spans="1:26" ht="12.75" customHeight="1" x14ac:dyDescent="0.2">
      <c r="A26" t="s">
        <v>150</v>
      </c>
      <c r="B26" s="103" t="s">
        <v>45</v>
      </c>
      <c r="C26" t="s">
        <v>132</v>
      </c>
      <c r="K26" t="s">
        <v>97</v>
      </c>
      <c r="X26" s="93" t="s">
        <v>49</v>
      </c>
      <c r="Y26" s="77" t="s">
        <v>131</v>
      </c>
      <c r="Z26" s="4" t="s">
        <v>323</v>
      </c>
    </row>
    <row r="27" spans="1:26" ht="25.5" x14ac:dyDescent="0.2">
      <c r="A27" t="s">
        <v>56</v>
      </c>
      <c r="B27" s="103">
        <v>0.16700000000000001</v>
      </c>
      <c r="C27" s="1" t="s">
        <v>430</v>
      </c>
      <c r="K27" t="s">
        <v>97</v>
      </c>
      <c r="X27" s="5" t="s">
        <v>47</v>
      </c>
      <c r="Y27" s="6" t="s">
        <v>45</v>
      </c>
      <c r="Z27" s="7" t="s">
        <v>36</v>
      </c>
    </row>
    <row r="28" spans="1:26" x14ac:dyDescent="0.2">
      <c r="A28" s="1" t="s">
        <v>48</v>
      </c>
      <c r="B28" s="103" t="s">
        <v>50</v>
      </c>
      <c r="G28" t="s">
        <v>97</v>
      </c>
      <c r="X28" s="5" t="s">
        <v>50</v>
      </c>
      <c r="Y28" s="6" t="s">
        <v>58</v>
      </c>
      <c r="Z28" s="7" t="s">
        <v>38</v>
      </c>
    </row>
    <row r="29" spans="1:26" ht="15.75" x14ac:dyDescent="0.3">
      <c r="A29" s="15" t="s">
        <v>54</v>
      </c>
      <c r="B29" s="103">
        <v>0.43</v>
      </c>
      <c r="C29" t="s">
        <v>188</v>
      </c>
      <c r="F29" t="s">
        <v>97</v>
      </c>
      <c r="G29" t="s">
        <v>97</v>
      </c>
      <c r="H29" t="s">
        <v>97</v>
      </c>
      <c r="P29" t="s">
        <v>384</v>
      </c>
      <c r="Q29" t="s">
        <v>97</v>
      </c>
      <c r="R29" t="s">
        <v>97</v>
      </c>
      <c r="S29" t="s">
        <v>97</v>
      </c>
      <c r="T29" t="s">
        <v>97</v>
      </c>
      <c r="X29" s="47"/>
      <c r="Y29" s="94" t="s">
        <v>130</v>
      </c>
      <c r="Z29" s="48" t="s">
        <v>37</v>
      </c>
    </row>
    <row r="30" spans="1:26" ht="15.75" x14ac:dyDescent="0.3">
      <c r="A30" s="15" t="s">
        <v>187</v>
      </c>
      <c r="B30" s="103">
        <v>1.29</v>
      </c>
      <c r="C30" s="1" t="s">
        <v>310</v>
      </c>
      <c r="R30" t="s">
        <v>97</v>
      </c>
      <c r="T30" s="6"/>
      <c r="U30" s="14"/>
    </row>
    <row r="31" spans="1:26" x14ac:dyDescent="0.2">
      <c r="A31" s="15" t="s">
        <v>116</v>
      </c>
      <c r="B31" s="103">
        <v>0.7</v>
      </c>
      <c r="C31" s="6" t="s">
        <v>52</v>
      </c>
      <c r="E31" t="s">
        <v>97</v>
      </c>
    </row>
    <row r="32" spans="1:26" x14ac:dyDescent="0.2">
      <c r="A32" s="41" t="s">
        <v>71</v>
      </c>
      <c r="B32" s="103">
        <v>250</v>
      </c>
      <c r="C32" s="54" t="s">
        <v>140</v>
      </c>
      <c r="L32" t="s">
        <v>97</v>
      </c>
      <c r="M32" t="s">
        <v>97</v>
      </c>
      <c r="N32" t="s">
        <v>97</v>
      </c>
      <c r="O32" t="s">
        <v>97</v>
      </c>
    </row>
    <row r="33" spans="1:10" x14ac:dyDescent="0.2">
      <c r="A33" s="15" t="s">
        <v>57</v>
      </c>
      <c r="B33" s="103" t="s">
        <v>38</v>
      </c>
      <c r="C33" t="str">
        <f>IF(B33 &lt;&gt; B41, "Warning: degree of bend does not match recommendation", "")</f>
        <v/>
      </c>
      <c r="F33" t="s">
        <v>97</v>
      </c>
      <c r="G33" t="s">
        <v>97</v>
      </c>
      <c r="H33" t="s">
        <v>97</v>
      </c>
      <c r="J33" t="s">
        <v>97</v>
      </c>
    </row>
    <row r="34" spans="1:10" x14ac:dyDescent="0.2">
      <c r="A34" s="15"/>
      <c r="B34" s="87"/>
    </row>
    <row r="35" spans="1:10" x14ac:dyDescent="0.2">
      <c r="A35" s="102" t="s">
        <v>313</v>
      </c>
      <c r="B35" s="87"/>
    </row>
    <row r="36" spans="1:10" x14ac:dyDescent="0.2">
      <c r="A36" t="s">
        <v>124</v>
      </c>
      <c r="B36" s="103">
        <v>1</v>
      </c>
      <c r="C36" s="1" t="s">
        <v>222</v>
      </c>
    </row>
    <row r="37" spans="1:10" x14ac:dyDescent="0.2">
      <c r="A37" s="15"/>
      <c r="B37" s="87"/>
    </row>
    <row r="38" spans="1:10" x14ac:dyDescent="0.2">
      <c r="A38" s="15"/>
      <c r="B38" s="87"/>
    </row>
    <row r="39" spans="1:10" x14ac:dyDescent="0.2">
      <c r="A39" s="15" t="s">
        <v>301</v>
      </c>
      <c r="B39" s="87"/>
    </row>
    <row r="40" spans="1:10" x14ac:dyDescent="0.2">
      <c r="A40" s="15" t="s">
        <v>350</v>
      </c>
      <c r="B40" s="40">
        <f>B32/B6</f>
        <v>2.088205813564985</v>
      </c>
      <c r="C40" t="s">
        <v>189</v>
      </c>
    </row>
    <row r="41" spans="1:10" x14ac:dyDescent="0.2">
      <c r="A41" s="15" t="s">
        <v>433</v>
      </c>
      <c r="B41" s="40" t="str">
        <f>IF(B32=0, "straight", IF(B40 &lt;= 5, "severe", IF(B40 &lt;= 10, "moderate", "straight")))</f>
        <v>severe</v>
      </c>
      <c r="C41" t="s">
        <v>128</v>
      </c>
    </row>
    <row r="42" spans="1:10" x14ac:dyDescent="0.2">
      <c r="A42" s="15" t="s">
        <v>300</v>
      </c>
      <c r="B42">
        <f>B5/B6</f>
        <v>26.561977948546609</v>
      </c>
      <c r="C42" t="s">
        <v>190</v>
      </c>
    </row>
    <row r="43" spans="1:10" x14ac:dyDescent="0.2">
      <c r="A43" s="15"/>
    </row>
    <row r="44" spans="1:10" x14ac:dyDescent="0.2">
      <c r="A44" s="38"/>
    </row>
    <row r="45" spans="1:10" x14ac:dyDescent="0.2">
      <c r="A45" s="38"/>
    </row>
    <row r="46" spans="1:10" x14ac:dyDescent="0.2">
      <c r="A46" s="38"/>
    </row>
    <row r="47" spans="1:10" x14ac:dyDescent="0.2">
      <c r="A47" s="38"/>
    </row>
    <row r="48" spans="1:10" x14ac:dyDescent="0.2">
      <c r="A48" s="15"/>
    </row>
    <row r="49" spans="1:1" x14ac:dyDescent="0.2">
      <c r="A49" s="15"/>
    </row>
    <row r="50" spans="1:1" x14ac:dyDescent="0.2">
      <c r="A50" s="15"/>
    </row>
  </sheetData>
  <sheetProtection password="E1DD" sheet="1" objects="1" scenarios="1"/>
  <mergeCells count="4">
    <mergeCell ref="Q3:T3"/>
    <mergeCell ref="L3:O3"/>
    <mergeCell ref="D2:T2"/>
    <mergeCell ref="D3:J3"/>
  </mergeCells>
  <phoneticPr fontId="0" type="noConversion"/>
  <conditionalFormatting sqref="B33">
    <cfRule type="cellIs" dxfId="1" priority="1" stopIfTrue="1" operator="equal">
      <formula>$B$41</formula>
    </cfRule>
    <cfRule type="cellIs" dxfId="0" priority="2" stopIfTrue="1" operator="notEqual">
      <formula>$B$41</formula>
    </cfRule>
  </conditionalFormatting>
  <dataValidations count="6">
    <dataValidation type="decimal" allowBlank="1" showInputMessage="1" showErrorMessage="1" sqref="B27">
      <formula1>0</formula1>
      <formula2>1</formula2>
    </dataValidation>
    <dataValidation type="list" allowBlank="1" showInputMessage="1" showErrorMessage="1" sqref="B28">
      <formula1>$X$27:$X$28</formula1>
    </dataValidation>
    <dataValidation type="decimal" allowBlank="1" showInputMessage="1" showErrorMessage="1" sqref="B29:B30">
      <formula1>0</formula1>
      <formula2>1000</formula2>
    </dataValidation>
    <dataValidation type="decimal" allowBlank="1" showInputMessage="1" showErrorMessage="1" sqref="B31">
      <formula1>0.67</formula1>
      <formula2>0.85</formula2>
    </dataValidation>
    <dataValidation type="list" allowBlank="1" showInputMessage="1" showErrorMessage="1" sqref="B33">
      <formula1>$Z$27:$Z$29</formula1>
    </dataValidation>
    <dataValidation type="list" allowBlank="1" showInputMessage="1" showErrorMessage="1" sqref="B26">
      <formula1>$Y$27:$Y$29</formula1>
    </dataValidation>
  </dataValidations>
  <pageMargins left="0.75" right="0.7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0"/>
  <sheetViews>
    <sheetView workbookViewId="0">
      <selection activeCell="A18" sqref="A18"/>
    </sheetView>
  </sheetViews>
  <sheetFormatPr defaultRowHeight="12.75" x14ac:dyDescent="0.2"/>
  <cols>
    <col min="2" max="3" width="14.7109375" bestFit="1" customWidth="1"/>
    <col min="4" max="4" width="20.7109375" customWidth="1"/>
    <col min="6" max="6" width="21.42578125" customWidth="1"/>
  </cols>
  <sheetData>
    <row r="1" spans="1:8" x14ac:dyDescent="0.2">
      <c r="A1" s="43" t="s">
        <v>75</v>
      </c>
      <c r="B1" s="44" t="s">
        <v>76</v>
      </c>
      <c r="C1" s="44" t="s">
        <v>77</v>
      </c>
      <c r="D1" s="44" t="s">
        <v>79</v>
      </c>
      <c r="E1" t="s">
        <v>78</v>
      </c>
      <c r="F1" t="s">
        <v>80</v>
      </c>
      <c r="G1" s="44" t="s">
        <v>81</v>
      </c>
      <c r="H1" s="44" t="s">
        <v>82</v>
      </c>
    </row>
    <row r="2" spans="1:8" x14ac:dyDescent="0.2">
      <c r="A2" s="43">
        <v>20</v>
      </c>
      <c r="B2" s="44">
        <v>1.99745398101</v>
      </c>
      <c r="C2" s="44">
        <v>12.218505457659999</v>
      </c>
      <c r="D2" s="44">
        <f t="shared" ref="D2:D29" si="0">10^((B2-12)*0.3)</f>
        <v>9.9824281804328837E-4</v>
      </c>
      <c r="E2">
        <f t="shared" ref="E2:E29" si="1">D2*304.8</f>
        <v>0.30426441093959433</v>
      </c>
      <c r="F2">
        <f t="shared" ref="F2:F29" si="2">10^((C2-10)/3.38496)</f>
        <v>4.5227313335613912</v>
      </c>
      <c r="G2">
        <f>LOG10(E2)</f>
        <v>-0.51674884302943713</v>
      </c>
      <c r="H2">
        <f t="shared" ref="H2:H28" si="3">LOG10(F2)</f>
        <v>0.65540078986457728</v>
      </c>
    </row>
    <row r="3" spans="1:8" x14ac:dyDescent="0.2">
      <c r="A3" s="43">
        <v>20</v>
      </c>
      <c r="B3" s="44">
        <v>2.4041790705900001</v>
      </c>
      <c r="C3" s="44">
        <v>12.25954003643</v>
      </c>
      <c r="D3" s="44">
        <f t="shared" si="0"/>
        <v>1.3220677799143416E-3</v>
      </c>
      <c r="E3">
        <f t="shared" si="1"/>
        <v>0.40296625931789132</v>
      </c>
      <c r="F3">
        <f t="shared" si="2"/>
        <v>4.6507544295830359</v>
      </c>
      <c r="G3">
        <f t="shared" ref="G3:G28" si="4">LOG10(E3)</f>
        <v>-0.39473131615543733</v>
      </c>
      <c r="H3">
        <f t="shared" si="3"/>
        <v>0.66752340838001045</v>
      </c>
    </row>
    <row r="4" spans="1:8" x14ac:dyDescent="0.2">
      <c r="A4" s="43">
        <v>20</v>
      </c>
      <c r="B4" s="44">
        <v>2.8205593551799999</v>
      </c>
      <c r="C4" s="44">
        <v>12.305402212700001</v>
      </c>
      <c r="D4" s="44">
        <f t="shared" si="0"/>
        <v>1.7626569858899697E-3</v>
      </c>
      <c r="E4">
        <f t="shared" si="1"/>
        <v>0.53725784929926279</v>
      </c>
      <c r="F4">
        <f t="shared" si="2"/>
        <v>4.7981322846462158</v>
      </c>
      <c r="G4">
        <f t="shared" si="4"/>
        <v>-0.26981723077843706</v>
      </c>
      <c r="H4">
        <f t="shared" si="3"/>
        <v>0.6810722173083289</v>
      </c>
    </row>
    <row r="5" spans="1:8" x14ac:dyDescent="0.2">
      <c r="A5" s="43">
        <v>20</v>
      </c>
      <c r="B5" s="44">
        <v>3.2671121241600001</v>
      </c>
      <c r="C5" s="44">
        <v>12.35126438897</v>
      </c>
      <c r="D5" s="44">
        <f t="shared" si="0"/>
        <v>2.3995711801997181E-3</v>
      </c>
      <c r="E5">
        <f t="shared" si="1"/>
        <v>0.7313892957248741</v>
      </c>
      <c r="F5">
        <f t="shared" si="2"/>
        <v>4.9501803996622407</v>
      </c>
      <c r="G5">
        <f t="shared" si="4"/>
        <v>-0.13585140008443697</v>
      </c>
      <c r="H5">
        <f t="shared" si="3"/>
        <v>0.6946210262366469</v>
      </c>
    </row>
    <row r="6" spans="1:8" x14ac:dyDescent="0.2">
      <c r="A6" s="43">
        <v>20</v>
      </c>
      <c r="B6" s="44">
        <v>3.6678027168599998</v>
      </c>
      <c r="C6" s="44">
        <v>12.39350586712</v>
      </c>
      <c r="D6" s="44">
        <f t="shared" si="0"/>
        <v>3.1647602494843077E-3</v>
      </c>
      <c r="E6">
        <f t="shared" si="1"/>
        <v>0.96461892404281702</v>
      </c>
      <c r="F6">
        <f t="shared" si="2"/>
        <v>5.0944838797117837</v>
      </c>
      <c r="G6">
        <f t="shared" si="4"/>
        <v>-1.564422227443758E-2</v>
      </c>
      <c r="H6">
        <f t="shared" si="3"/>
        <v>0.70710019235677835</v>
      </c>
    </row>
    <row r="7" spans="1:8" x14ac:dyDescent="0.2">
      <c r="A7" s="43">
        <v>20</v>
      </c>
      <c r="B7" s="44">
        <v>4.1825220483800001</v>
      </c>
      <c r="C7" s="44">
        <v>12.44770031517</v>
      </c>
      <c r="D7" s="44">
        <f t="shared" si="0"/>
        <v>4.5160278811103346E-3</v>
      </c>
      <c r="E7">
        <f t="shared" si="1"/>
        <v>1.37648529816243</v>
      </c>
      <c r="F7">
        <f t="shared" si="2"/>
        <v>5.2857979506022881</v>
      </c>
      <c r="G7">
        <f t="shared" si="4"/>
        <v>0.13877157718156255</v>
      </c>
      <c r="H7">
        <f t="shared" si="3"/>
        <v>0.72311055822520787</v>
      </c>
    </row>
    <row r="8" spans="1:8" x14ac:dyDescent="0.2">
      <c r="A8" s="43">
        <v>20</v>
      </c>
      <c r="B8" s="44">
        <v>4.6947257143999996</v>
      </c>
      <c r="C8" s="44">
        <v>12.503895321690001</v>
      </c>
      <c r="D8" s="44">
        <f t="shared" si="0"/>
        <v>6.4330616636670678E-3</v>
      </c>
      <c r="E8">
        <f t="shared" si="1"/>
        <v>1.9607971950857224</v>
      </c>
      <c r="F8">
        <f t="shared" si="2"/>
        <v>5.4917649126581427</v>
      </c>
      <c r="G8">
        <f t="shared" si="4"/>
        <v>0.29243267698756276</v>
      </c>
      <c r="H8">
        <f t="shared" si="3"/>
        <v>0.7397119380110847</v>
      </c>
    </row>
    <row r="9" spans="1:8" x14ac:dyDescent="0.2">
      <c r="A9" s="43">
        <v>20</v>
      </c>
      <c r="B9" s="44">
        <v>5.0567689531599997</v>
      </c>
      <c r="C9" s="44">
        <v>12.53982327668</v>
      </c>
      <c r="D9" s="44">
        <f t="shared" si="0"/>
        <v>8.26096317007902E-3</v>
      </c>
      <c r="E9">
        <f t="shared" si="1"/>
        <v>2.5179415742400852</v>
      </c>
      <c r="F9">
        <f t="shared" si="2"/>
        <v>5.6276351676669849</v>
      </c>
      <c r="G9">
        <f t="shared" si="4"/>
        <v>0.40104564861556269</v>
      </c>
      <c r="H9">
        <f t="shared" si="3"/>
        <v>0.75032593492389876</v>
      </c>
    </row>
    <row r="10" spans="1:8" x14ac:dyDescent="0.2">
      <c r="A10" s="43">
        <v>20</v>
      </c>
      <c r="B10" s="44">
        <v>5.3423501338500001</v>
      </c>
      <c r="C10" s="44">
        <v>12.57022385398</v>
      </c>
      <c r="D10" s="44">
        <f t="shared" si="0"/>
        <v>1.006248023109323E-2</v>
      </c>
      <c r="E10">
        <f t="shared" si="1"/>
        <v>3.0670439744372167</v>
      </c>
      <c r="F10">
        <f t="shared" si="2"/>
        <v>5.7452245716685555</v>
      </c>
      <c r="G10">
        <f t="shared" si="4"/>
        <v>0.48672000282256289</v>
      </c>
      <c r="H10">
        <f t="shared" si="3"/>
        <v>0.75930700923496885</v>
      </c>
    </row>
    <row r="11" spans="1:8" x14ac:dyDescent="0.2">
      <c r="A11" s="43">
        <v>20</v>
      </c>
      <c r="B11" s="44">
        <v>5.7440062460599997</v>
      </c>
      <c r="C11" s="44">
        <v>12.614442875510001</v>
      </c>
      <c r="D11" s="44">
        <f t="shared" si="0"/>
        <v>1.328011616104011E-2</v>
      </c>
      <c r="E11">
        <f t="shared" si="1"/>
        <v>4.0477794058850254</v>
      </c>
      <c r="F11">
        <f t="shared" si="2"/>
        <v>5.9206636544409106</v>
      </c>
      <c r="G11">
        <f t="shared" si="4"/>
        <v>0.60721683648556279</v>
      </c>
      <c r="H11">
        <f t="shared" si="3"/>
        <v>0.77237039005187691</v>
      </c>
    </row>
    <row r="12" spans="1:8" x14ac:dyDescent="0.2">
      <c r="A12" s="43">
        <v>20</v>
      </c>
      <c r="B12" s="44">
        <v>6.2672646674700001</v>
      </c>
      <c r="C12" s="44">
        <v>12.69182616318</v>
      </c>
      <c r="D12" s="44">
        <f t="shared" si="0"/>
        <v>1.906247996504384E-2</v>
      </c>
      <c r="E12">
        <f t="shared" si="1"/>
        <v>5.8102438933453628</v>
      </c>
      <c r="F12">
        <f t="shared" si="2"/>
        <v>6.2406712691591313</v>
      </c>
      <c r="G12">
        <f t="shared" si="4"/>
        <v>0.7641943629085628</v>
      </c>
      <c r="H12">
        <f t="shared" si="3"/>
        <v>0.79523130647924956</v>
      </c>
    </row>
    <row r="13" spans="1:8" x14ac:dyDescent="0.2">
      <c r="A13" s="43">
        <v>20</v>
      </c>
      <c r="B13" s="44">
        <v>6.6947152088999999</v>
      </c>
      <c r="C13" s="44">
        <v>12.776579287780001</v>
      </c>
      <c r="D13" s="44">
        <f t="shared" si="0"/>
        <v>2.5610293916086893E-2</v>
      </c>
      <c r="E13">
        <f t="shared" si="1"/>
        <v>7.8060175856232856</v>
      </c>
      <c r="F13">
        <f t="shared" si="2"/>
        <v>6.6110349489382623</v>
      </c>
      <c r="G13">
        <f t="shared" si="4"/>
        <v>0.89242952533756281</v>
      </c>
      <c r="H13">
        <f t="shared" si="3"/>
        <v>0.82026945304523569</v>
      </c>
    </row>
    <row r="14" spans="1:8" x14ac:dyDescent="0.2">
      <c r="A14" s="43">
        <v>20</v>
      </c>
      <c r="B14" s="44">
        <v>7.0714981214900003</v>
      </c>
      <c r="C14" s="44">
        <v>12.85212011622</v>
      </c>
      <c r="D14" s="44">
        <f t="shared" si="0"/>
        <v>3.3223810151250678E-2</v>
      </c>
      <c r="E14">
        <f t="shared" si="1"/>
        <v>10.126617334101207</v>
      </c>
      <c r="F14">
        <f t="shared" si="2"/>
        <v>6.9596285647218981</v>
      </c>
      <c r="G14">
        <f t="shared" si="4"/>
        <v>1.0054643991145629</v>
      </c>
      <c r="H14">
        <f t="shared" si="3"/>
        <v>0.84258606193869368</v>
      </c>
    </row>
    <row r="15" spans="1:8" x14ac:dyDescent="0.2">
      <c r="A15" s="43">
        <v>20</v>
      </c>
      <c r="B15" s="44">
        <v>7.3807779174199997</v>
      </c>
      <c r="C15" s="44">
        <v>12.92623958369</v>
      </c>
      <c r="D15" s="44">
        <f t="shared" si="0"/>
        <v>4.1137071848862339E-2</v>
      </c>
      <c r="E15">
        <f t="shared" si="1"/>
        <v>12.538579499533242</v>
      </c>
      <c r="F15">
        <f t="shared" si="2"/>
        <v>7.3195227678831776</v>
      </c>
      <c r="G15">
        <f t="shared" si="4"/>
        <v>1.0982483378935628</v>
      </c>
      <c r="H15">
        <f t="shared" si="3"/>
        <v>0.86448276602677743</v>
      </c>
    </row>
    <row r="16" spans="1:8" x14ac:dyDescent="0.2">
      <c r="A16" s="43">
        <v>20</v>
      </c>
      <c r="B16" s="44">
        <v>7.6670753356199999</v>
      </c>
      <c r="C16" s="44">
        <v>12.99610978694</v>
      </c>
      <c r="D16" s="44">
        <f t="shared" si="0"/>
        <v>5.0132873800984426E-2</v>
      </c>
      <c r="E16">
        <f t="shared" si="1"/>
        <v>15.280499934540053</v>
      </c>
      <c r="F16">
        <f t="shared" si="2"/>
        <v>7.6758085407353693</v>
      </c>
      <c r="G16">
        <f t="shared" si="4"/>
        <v>1.1841375633535627</v>
      </c>
      <c r="H16">
        <f t="shared" si="3"/>
        <v>0.88512413350231622</v>
      </c>
    </row>
    <row r="17" spans="1:8" x14ac:dyDescent="0.2">
      <c r="A17" s="43">
        <v>20</v>
      </c>
      <c r="B17" s="44">
        <v>8.0215388057699997</v>
      </c>
      <c r="C17" s="44">
        <v>13.086429805770001</v>
      </c>
      <c r="D17" s="44">
        <f t="shared" si="0"/>
        <v>6.404152155640043E-2</v>
      </c>
      <c r="E17">
        <f t="shared" si="1"/>
        <v>19.519855770390851</v>
      </c>
      <c r="F17">
        <f t="shared" si="2"/>
        <v>8.1621933215280773</v>
      </c>
      <c r="G17">
        <f t="shared" si="4"/>
        <v>1.2904766043985627</v>
      </c>
      <c r="H17">
        <f t="shared" si="3"/>
        <v>0.91180687682276929</v>
      </c>
    </row>
    <row r="18" spans="1:8" x14ac:dyDescent="0.2">
      <c r="A18" s="43">
        <v>20</v>
      </c>
      <c r="B18" s="44">
        <v>8.4237185122899998</v>
      </c>
      <c r="C18" s="44">
        <v>13.196347564550001</v>
      </c>
      <c r="D18" s="44">
        <f t="shared" si="0"/>
        <v>8.4550378028297041E-2</v>
      </c>
      <c r="E18">
        <f t="shared" si="1"/>
        <v>25.770955223024938</v>
      </c>
      <c r="F18">
        <f t="shared" si="2"/>
        <v>8.7958795188338605</v>
      </c>
      <c r="G18">
        <f t="shared" si="4"/>
        <v>1.4111305163545629</v>
      </c>
      <c r="H18">
        <f t="shared" si="3"/>
        <v>0.94427927200026018</v>
      </c>
    </row>
    <row r="19" spans="1:8" x14ac:dyDescent="0.2">
      <c r="A19" s="43">
        <v>20</v>
      </c>
      <c r="B19" s="44">
        <v>8.7500634860099993</v>
      </c>
      <c r="C19" s="44">
        <v>13.29007588598</v>
      </c>
      <c r="D19" s="44">
        <f t="shared" si="0"/>
        <v>0.10593001793253205</v>
      </c>
      <c r="E19">
        <f t="shared" si="1"/>
        <v>32.28746946583577</v>
      </c>
      <c r="F19">
        <f t="shared" si="2"/>
        <v>9.3749489452671586</v>
      </c>
      <c r="G19">
        <f t="shared" si="4"/>
        <v>1.5090340084705627</v>
      </c>
      <c r="H19">
        <f t="shared" si="3"/>
        <v>0.97196891129585006</v>
      </c>
    </row>
    <row r="20" spans="1:8" x14ac:dyDescent="0.2">
      <c r="A20" s="43">
        <v>20</v>
      </c>
      <c r="B20" s="44">
        <v>9.1897345211000001</v>
      </c>
      <c r="C20" s="44">
        <v>13.42896421683</v>
      </c>
      <c r="D20" s="44">
        <f t="shared" si="0"/>
        <v>0.1435226208355275</v>
      </c>
      <c r="E20">
        <f t="shared" si="1"/>
        <v>43.745694830668782</v>
      </c>
      <c r="F20">
        <f t="shared" si="2"/>
        <v>10.303859359831945</v>
      </c>
      <c r="G20">
        <f t="shared" si="4"/>
        <v>1.6409353189975628</v>
      </c>
      <c r="H20">
        <f t="shared" si="3"/>
        <v>1.0129999222531436</v>
      </c>
    </row>
    <row r="21" spans="1:8" x14ac:dyDescent="0.2">
      <c r="A21" s="43">
        <v>20</v>
      </c>
      <c r="B21" s="44">
        <v>9.5160794948199996</v>
      </c>
      <c r="C21" s="44">
        <v>13.536325748659999</v>
      </c>
      <c r="D21" s="44">
        <f t="shared" si="0"/>
        <v>0.17981414339440585</v>
      </c>
      <c r="E21">
        <f t="shared" si="1"/>
        <v>54.807350906614907</v>
      </c>
      <c r="F21">
        <f t="shared" si="2"/>
        <v>11.084526485944895</v>
      </c>
      <c r="G21">
        <f t="shared" si="4"/>
        <v>1.7388388111135626</v>
      </c>
      <c r="H21">
        <f t="shared" si="3"/>
        <v>1.0447171454492816</v>
      </c>
    </row>
    <row r="22" spans="1:8" x14ac:dyDescent="0.2">
      <c r="A22" s="43">
        <v>20</v>
      </c>
      <c r="B22" s="44">
        <v>9.8500931493900001</v>
      </c>
      <c r="C22" s="44">
        <v>13.648799734380001</v>
      </c>
      <c r="D22" s="44">
        <f t="shared" si="0"/>
        <v>0.22647900315418448</v>
      </c>
      <c r="E22">
        <f t="shared" si="1"/>
        <v>69.030800161395433</v>
      </c>
      <c r="F22">
        <f t="shared" si="2"/>
        <v>11.965881912299775</v>
      </c>
      <c r="G22">
        <f t="shared" si="4"/>
        <v>1.8390429074845629</v>
      </c>
      <c r="H22">
        <f t="shared" si="3"/>
        <v>1.0779447126051716</v>
      </c>
    </row>
    <row r="23" spans="1:8" x14ac:dyDescent="0.2">
      <c r="A23" s="43">
        <v>20</v>
      </c>
      <c r="B23" s="44">
        <v>10.1040116929</v>
      </c>
      <c r="C23" s="44">
        <v>13.73400729932</v>
      </c>
      <c r="D23" s="44">
        <f t="shared" si="0"/>
        <v>0.2699003873694853</v>
      </c>
      <c r="E23">
        <f t="shared" si="1"/>
        <v>82.265638070219126</v>
      </c>
      <c r="F23">
        <f t="shared" si="2"/>
        <v>12.679937472920875</v>
      </c>
      <c r="G23">
        <f t="shared" si="4"/>
        <v>1.915218470537563</v>
      </c>
      <c r="H23">
        <f t="shared" si="3"/>
        <v>1.1031171119658727</v>
      </c>
    </row>
    <row r="24" spans="1:8" x14ac:dyDescent="0.2">
      <c r="A24" s="43">
        <v>20</v>
      </c>
      <c r="B24" s="44">
        <v>10.354521933799999</v>
      </c>
      <c r="C24" s="44">
        <v>13.816658637310001</v>
      </c>
      <c r="D24" s="44">
        <f t="shared" si="0"/>
        <v>0.32089029325621632</v>
      </c>
      <c r="E24">
        <f t="shared" si="1"/>
        <v>97.80736138449474</v>
      </c>
      <c r="F24">
        <f t="shared" si="2"/>
        <v>13.413259888718057</v>
      </c>
      <c r="G24">
        <f t="shared" si="4"/>
        <v>1.9903715428075626</v>
      </c>
      <c r="H24">
        <f t="shared" si="3"/>
        <v>1.1275343393452215</v>
      </c>
    </row>
    <row r="25" spans="1:8" x14ac:dyDescent="0.2">
      <c r="A25" s="43">
        <v>20</v>
      </c>
      <c r="B25" s="44">
        <v>10.7106895553</v>
      </c>
      <c r="C25" s="44">
        <v>13.93850545518</v>
      </c>
      <c r="D25" s="44">
        <f t="shared" si="0"/>
        <v>0.410399541199016</v>
      </c>
      <c r="E25">
        <f t="shared" si="1"/>
        <v>125.08978015746008</v>
      </c>
      <c r="F25">
        <f t="shared" si="2"/>
        <v>14.572392842378521</v>
      </c>
      <c r="G25">
        <f t="shared" si="4"/>
        <v>2.0972218292575628</v>
      </c>
      <c r="H25">
        <f t="shared" si="3"/>
        <v>1.1635308704327376</v>
      </c>
    </row>
    <row r="26" spans="1:8" x14ac:dyDescent="0.2">
      <c r="A26" s="43">
        <v>20</v>
      </c>
      <c r="B26" s="44">
        <v>11.1145734131</v>
      </c>
      <c r="C26" s="44">
        <v>14.078245861679999</v>
      </c>
      <c r="D26" s="44">
        <f t="shared" si="0"/>
        <v>0.54246537636063819</v>
      </c>
      <c r="E26">
        <f t="shared" si="1"/>
        <v>165.34344671472252</v>
      </c>
      <c r="F26">
        <f t="shared" si="2"/>
        <v>16.025574422997835</v>
      </c>
      <c r="G26">
        <f t="shared" si="4"/>
        <v>2.2183869865975629</v>
      </c>
      <c r="H26">
        <f t="shared" si="3"/>
        <v>1.2048136053838152</v>
      </c>
    </row>
    <row r="27" spans="1:8" x14ac:dyDescent="0.2">
      <c r="A27" s="43">
        <v>20</v>
      </c>
      <c r="B27" s="44">
        <v>11.4920429258</v>
      </c>
      <c r="C27" s="44">
        <v>14.210317587340001</v>
      </c>
      <c r="D27" s="44">
        <f t="shared" si="0"/>
        <v>0.70406519816659441</v>
      </c>
      <c r="E27">
        <f t="shared" si="1"/>
        <v>214.59907240117798</v>
      </c>
      <c r="F27">
        <f t="shared" si="2"/>
        <v>17.531974261273408</v>
      </c>
      <c r="G27">
        <f t="shared" si="4"/>
        <v>2.3316278404075628</v>
      </c>
      <c r="H27">
        <f t="shared" si="3"/>
        <v>1.2438308243937892</v>
      </c>
    </row>
    <row r="28" spans="1:8" x14ac:dyDescent="0.2">
      <c r="A28" s="43">
        <v>20</v>
      </c>
      <c r="B28" s="44">
        <v>11.804754689099999</v>
      </c>
      <c r="C28" s="44">
        <v>14.318531194809999</v>
      </c>
      <c r="D28" s="44">
        <f t="shared" si="0"/>
        <v>0.8738289055708095</v>
      </c>
      <c r="E28">
        <f t="shared" si="1"/>
        <v>266.34305041798274</v>
      </c>
      <c r="F28">
        <f t="shared" si="2"/>
        <v>18.871211045765364</v>
      </c>
      <c r="G28">
        <f t="shared" si="4"/>
        <v>2.4254413693975625</v>
      </c>
      <c r="H28">
        <f t="shared" si="3"/>
        <v>1.275799771580757</v>
      </c>
    </row>
    <row r="29" spans="1:8" x14ac:dyDescent="0.2">
      <c r="A29" s="43">
        <v>20</v>
      </c>
      <c r="B29" s="44">
        <v>12.0041403911</v>
      </c>
      <c r="C29" s="44">
        <v>14.39180970066</v>
      </c>
      <c r="D29" s="44">
        <f t="shared" si="0"/>
        <v>1.0028641747810985</v>
      </c>
      <c r="E29">
        <f t="shared" si="1"/>
        <v>305.67300047327882</v>
      </c>
      <c r="F29">
        <f t="shared" si="2"/>
        <v>19.835723007485708</v>
      </c>
      <c r="G29">
        <f>LOG10(E29)</f>
        <v>2.4852570799975631</v>
      </c>
      <c r="H29">
        <f>LOG10(F29)</f>
        <v>1.2974480350314332</v>
      </c>
    </row>
    <row r="30" spans="1:8" x14ac:dyDescent="0.2">
      <c r="D30" s="44"/>
    </row>
  </sheetData>
  <sheetProtection password="E1DD" sheet="1" objects="1" scenarios="1"/>
  <phoneticPr fontId="0"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25"/>
  <sheetViews>
    <sheetView workbookViewId="0">
      <selection activeCell="I56" sqref="I56"/>
    </sheetView>
  </sheetViews>
  <sheetFormatPr defaultRowHeight="12.75" x14ac:dyDescent="0.2"/>
  <cols>
    <col min="2" max="3" width="14.7109375" bestFit="1" customWidth="1"/>
    <col min="4" max="4" width="20.7109375" customWidth="1"/>
    <col min="6" max="6" width="21.42578125" customWidth="1"/>
  </cols>
  <sheetData>
    <row r="1" spans="1:8" x14ac:dyDescent="0.2">
      <c r="A1" s="43" t="s">
        <v>75</v>
      </c>
      <c r="B1" s="44" t="s">
        <v>76</v>
      </c>
      <c r="C1" s="44" t="s">
        <v>77</v>
      </c>
      <c r="D1" s="44" t="s">
        <v>79</v>
      </c>
      <c r="E1" t="s">
        <v>78</v>
      </c>
      <c r="F1" t="s">
        <v>80</v>
      </c>
      <c r="G1" s="44" t="s">
        <v>81</v>
      </c>
      <c r="H1" s="44" t="s">
        <v>82</v>
      </c>
    </row>
    <row r="2" spans="1:8" x14ac:dyDescent="0.2">
      <c r="A2" s="43">
        <v>50</v>
      </c>
      <c r="B2" s="44">
        <v>1.9986451324200001</v>
      </c>
      <c r="C2" s="44">
        <v>12.8686996506</v>
      </c>
      <c r="D2" s="44">
        <f t="shared" ref="D2:D25" si="0">10^((B2-12)*0.3)</f>
        <v>9.9906452845876636E-4</v>
      </c>
      <c r="E2">
        <f t="shared" ref="E2:E25" si="1">D2*304.8</f>
        <v>0.30451486827423202</v>
      </c>
      <c r="F2">
        <f t="shared" ref="F2:F25" si="2">10^((C2-10)/3.38496)</f>
        <v>7.0385639696153621</v>
      </c>
      <c r="G2">
        <f>LOG10(E2)</f>
        <v>-0.5163914976064371</v>
      </c>
      <c r="H2">
        <f t="shared" ref="H2:H25" si="3">LOG10(F2)</f>
        <v>0.84748406202732085</v>
      </c>
    </row>
    <row r="3" spans="1:8" x14ac:dyDescent="0.2">
      <c r="A3" s="43">
        <v>50</v>
      </c>
      <c r="B3" s="44">
        <v>2.5540041679700001</v>
      </c>
      <c r="C3" s="44">
        <v>12.90419252129</v>
      </c>
      <c r="D3" s="44">
        <f t="shared" si="0"/>
        <v>1.4662271275606982E-3</v>
      </c>
      <c r="E3">
        <f t="shared" si="1"/>
        <v>0.44690602848050082</v>
      </c>
      <c r="F3">
        <f t="shared" si="2"/>
        <v>7.2105687891541477</v>
      </c>
      <c r="G3">
        <f t="shared" ref="G3:G25" si="4">LOG10(E3)</f>
        <v>-0.3497837869414373</v>
      </c>
      <c r="H3">
        <f t="shared" si="3"/>
        <v>0.85796952439319818</v>
      </c>
    </row>
    <row r="4" spans="1:8" x14ac:dyDescent="0.2">
      <c r="A4" s="43">
        <v>50</v>
      </c>
      <c r="B4" s="44">
        <v>3.2158418156000002</v>
      </c>
      <c r="C4" s="44">
        <v>12.94699274772</v>
      </c>
      <c r="D4" s="44">
        <f t="shared" si="0"/>
        <v>2.3160746048908557E-3</v>
      </c>
      <c r="E4">
        <f t="shared" si="1"/>
        <v>0.70593953957073285</v>
      </c>
      <c r="F4">
        <f t="shared" si="2"/>
        <v>7.4235862454484494</v>
      </c>
      <c r="G4">
        <f t="shared" si="4"/>
        <v>-0.15123249265243693</v>
      </c>
      <c r="H4">
        <f t="shared" si="3"/>
        <v>0.87061375842550559</v>
      </c>
    </row>
    <row r="5" spans="1:8" x14ac:dyDescent="0.2">
      <c r="A5" s="43">
        <v>50</v>
      </c>
      <c r="B5" s="44">
        <v>3.74719096803</v>
      </c>
      <c r="C5" s="44">
        <v>12.98039780249</v>
      </c>
      <c r="D5" s="44">
        <f t="shared" si="0"/>
        <v>3.3431609888558921E-3</v>
      </c>
      <c r="E5">
        <f t="shared" si="1"/>
        <v>1.0189954694032759</v>
      </c>
      <c r="F5">
        <f t="shared" si="2"/>
        <v>7.5942069665975929</v>
      </c>
      <c r="G5">
        <f t="shared" si="4"/>
        <v>8.172253076562665E-3</v>
      </c>
      <c r="H5">
        <f t="shared" si="3"/>
        <v>0.88048242888837691</v>
      </c>
    </row>
    <row r="6" spans="1:8" x14ac:dyDescent="0.2">
      <c r="A6" s="43">
        <v>50</v>
      </c>
      <c r="B6" s="44">
        <v>4.2002470233500002</v>
      </c>
      <c r="C6" s="44">
        <v>13.01067113337</v>
      </c>
      <c r="D6" s="44">
        <f t="shared" si="0"/>
        <v>4.5716619274033879E-3</v>
      </c>
      <c r="E6">
        <f t="shared" si="1"/>
        <v>1.3934425554725527</v>
      </c>
      <c r="F6">
        <f t="shared" si="2"/>
        <v>7.752216830656673</v>
      </c>
      <c r="G6">
        <f t="shared" si="4"/>
        <v>0.14408906967256307</v>
      </c>
      <c r="H6">
        <f t="shared" si="3"/>
        <v>0.88942591149378436</v>
      </c>
    </row>
    <row r="7" spans="1:8" x14ac:dyDescent="0.2">
      <c r="A7" s="43">
        <v>50</v>
      </c>
      <c r="B7" s="44">
        <v>4.5948442328199999</v>
      </c>
      <c r="C7" s="44">
        <v>13.03363710853</v>
      </c>
      <c r="D7" s="44">
        <f t="shared" si="0"/>
        <v>6.0041740042571972E-3</v>
      </c>
      <c r="E7">
        <f t="shared" si="1"/>
        <v>1.8300722364975939</v>
      </c>
      <c r="F7">
        <f t="shared" si="2"/>
        <v>7.8742758065515268</v>
      </c>
      <c r="G7">
        <f t="shared" si="4"/>
        <v>0.26246823251356272</v>
      </c>
      <c r="H7">
        <f t="shared" si="3"/>
        <v>0.89621062243866978</v>
      </c>
    </row>
    <row r="8" spans="1:8" x14ac:dyDescent="0.2">
      <c r="A8" s="43">
        <v>50</v>
      </c>
      <c r="B8" s="44">
        <v>4.9998805219099998</v>
      </c>
      <c r="C8" s="44">
        <v>13.06495434737</v>
      </c>
      <c r="D8" s="44">
        <f t="shared" si="0"/>
        <v>7.9426267950218309E-3</v>
      </c>
      <c r="E8">
        <f t="shared" si="1"/>
        <v>2.4209126471226541</v>
      </c>
      <c r="F8">
        <f t="shared" si="2"/>
        <v>8.0438229144727309</v>
      </c>
      <c r="G8">
        <f t="shared" si="4"/>
        <v>0.38397911924056294</v>
      </c>
      <c r="H8">
        <f t="shared" si="3"/>
        <v>0.90546250099558045</v>
      </c>
    </row>
    <row r="9" spans="1:8" x14ac:dyDescent="0.2">
      <c r="A9" s="43">
        <v>50</v>
      </c>
      <c r="B9" s="44">
        <v>5.4278827861499996</v>
      </c>
      <c r="C9" s="44">
        <v>13.09209595437</v>
      </c>
      <c r="D9" s="44">
        <f t="shared" si="0"/>
        <v>1.0674925083767007E-2</v>
      </c>
      <c r="E9">
        <f t="shared" si="1"/>
        <v>3.2537171655321839</v>
      </c>
      <c r="F9">
        <f t="shared" si="2"/>
        <v>8.1937139024508596</v>
      </c>
      <c r="G9">
        <f t="shared" si="4"/>
        <v>0.51237979851256243</v>
      </c>
      <c r="H9">
        <f t="shared" si="3"/>
        <v>0.91348079574647867</v>
      </c>
    </row>
    <row r="10" spans="1:8" x14ac:dyDescent="0.2">
      <c r="A10" s="43">
        <v>50</v>
      </c>
      <c r="B10" s="44">
        <v>5.8757193016500002</v>
      </c>
      <c r="C10" s="44">
        <v>13.125501009140001</v>
      </c>
      <c r="D10" s="44">
        <f t="shared" si="0"/>
        <v>1.4545069156336439E-2</v>
      </c>
      <c r="E10">
        <f t="shared" si="1"/>
        <v>4.4333370788513466</v>
      </c>
      <c r="F10">
        <f t="shared" si="2"/>
        <v>8.3820349279906452</v>
      </c>
      <c r="G10">
        <f t="shared" si="4"/>
        <v>0.64673075316256279</v>
      </c>
      <c r="H10">
        <f t="shared" si="3"/>
        <v>0.92334946620934977</v>
      </c>
    </row>
    <row r="11" spans="1:8" x14ac:dyDescent="0.2">
      <c r="A11" s="43">
        <v>50</v>
      </c>
      <c r="B11" s="44">
        <v>6.3486096082400003</v>
      </c>
      <c r="C11" s="44">
        <v>13.17038905149</v>
      </c>
      <c r="D11" s="44">
        <f t="shared" si="0"/>
        <v>2.0164287571639232E-2</v>
      </c>
      <c r="E11">
        <f t="shared" si="1"/>
        <v>6.1460748518356381</v>
      </c>
      <c r="F11">
        <f t="shared" si="2"/>
        <v>8.6419249846922899</v>
      </c>
      <c r="G11">
        <f t="shared" si="4"/>
        <v>0.78859784513956288</v>
      </c>
      <c r="H11">
        <f t="shared" si="3"/>
        <v>0.93661049214466352</v>
      </c>
    </row>
    <row r="12" spans="1:8" x14ac:dyDescent="0.2">
      <c r="A12" s="43">
        <v>50</v>
      </c>
      <c r="B12" s="44">
        <v>6.8246316387099997</v>
      </c>
      <c r="C12" s="44">
        <v>13.22154054161</v>
      </c>
      <c r="D12" s="44">
        <f t="shared" si="0"/>
        <v>2.8014926772445738E-2</v>
      </c>
      <c r="E12">
        <f t="shared" si="1"/>
        <v>8.5389496802414619</v>
      </c>
      <c r="F12">
        <f t="shared" si="2"/>
        <v>8.9479159043488341</v>
      </c>
      <c r="G12">
        <f t="shared" si="4"/>
        <v>0.93140445428056284</v>
      </c>
      <c r="H12">
        <f t="shared" si="3"/>
        <v>0.95172189379195038</v>
      </c>
    </row>
    <row r="13" spans="1:8" x14ac:dyDescent="0.2">
      <c r="A13" s="43">
        <v>50</v>
      </c>
      <c r="B13" s="44">
        <v>7.3476295274499996</v>
      </c>
      <c r="C13" s="44">
        <v>13.29357019095</v>
      </c>
      <c r="D13" s="44">
        <f t="shared" si="0"/>
        <v>4.0205813911352535E-2</v>
      </c>
      <c r="E13">
        <f t="shared" si="1"/>
        <v>12.254732080180252</v>
      </c>
      <c r="F13">
        <f t="shared" si="2"/>
        <v>9.3972593844112815</v>
      </c>
      <c r="G13">
        <f t="shared" si="4"/>
        <v>1.0883038209025626</v>
      </c>
      <c r="H13">
        <f t="shared" si="3"/>
        <v>0.97300121447520804</v>
      </c>
    </row>
    <row r="14" spans="1:8" x14ac:dyDescent="0.2">
      <c r="A14" s="43">
        <v>50</v>
      </c>
      <c r="B14" s="44">
        <v>7.8090368464599997</v>
      </c>
      <c r="C14" s="44">
        <v>13.36768765623</v>
      </c>
      <c r="D14" s="44">
        <f t="shared" si="0"/>
        <v>5.5298207516341874E-2</v>
      </c>
      <c r="E14">
        <f t="shared" si="1"/>
        <v>16.854893650981005</v>
      </c>
      <c r="F14">
        <f t="shared" si="2"/>
        <v>9.8831941531547116</v>
      </c>
      <c r="G14">
        <f t="shared" si="4"/>
        <v>1.2267260166055629</v>
      </c>
      <c r="H14">
        <f t="shared" si="3"/>
        <v>0.99489732706738054</v>
      </c>
    </row>
    <row r="15" spans="1:8" x14ac:dyDescent="0.2">
      <c r="A15" s="43">
        <v>50</v>
      </c>
      <c r="B15" s="44">
        <v>8.2234683071999992</v>
      </c>
      <c r="C15" s="44">
        <v>13.44284902946</v>
      </c>
      <c r="D15" s="44">
        <f t="shared" si="0"/>
        <v>7.3627574217384445E-2</v>
      </c>
      <c r="E15">
        <f t="shared" si="1"/>
        <v>22.44168462145878</v>
      </c>
      <c r="F15">
        <f t="shared" si="2"/>
        <v>10.401640402597577</v>
      </c>
      <c r="G15">
        <f t="shared" si="4"/>
        <v>1.3510554548275626</v>
      </c>
      <c r="H15">
        <f t="shared" si="3"/>
        <v>1.0171018356081016</v>
      </c>
    </row>
    <row r="16" spans="1:8" x14ac:dyDescent="0.2">
      <c r="A16" s="43">
        <v>50</v>
      </c>
      <c r="B16" s="44">
        <v>8.7485540118700005</v>
      </c>
      <c r="C16" s="44">
        <v>13.556634997270001</v>
      </c>
      <c r="D16" s="44">
        <f t="shared" si="0"/>
        <v>0.10581962144265585</v>
      </c>
      <c r="E16">
        <f t="shared" si="1"/>
        <v>32.253820615721501</v>
      </c>
      <c r="F16">
        <f t="shared" si="2"/>
        <v>11.238723700007217</v>
      </c>
      <c r="G16">
        <f t="shared" si="4"/>
        <v>1.5085811662285629</v>
      </c>
      <c r="H16">
        <f t="shared" si="3"/>
        <v>1.0507169943721641</v>
      </c>
    </row>
    <row r="17" spans="1:8" x14ac:dyDescent="0.2">
      <c r="A17" s="43">
        <v>50</v>
      </c>
      <c r="B17" s="44">
        <v>9.2485859254499996</v>
      </c>
      <c r="C17" s="44">
        <v>13.68921130839</v>
      </c>
      <c r="D17" s="44">
        <f t="shared" si="0"/>
        <v>0.14947748345826742</v>
      </c>
      <c r="E17">
        <f t="shared" si="1"/>
        <v>45.560736958079907</v>
      </c>
      <c r="F17">
        <f t="shared" si="2"/>
        <v>12.299381717660644</v>
      </c>
      <c r="G17">
        <f t="shared" si="4"/>
        <v>1.6585907403025628</v>
      </c>
      <c r="H17">
        <f t="shared" si="3"/>
        <v>1.0898832802721452</v>
      </c>
    </row>
    <row r="18" spans="1:8" x14ac:dyDescent="0.2">
      <c r="A18" s="43">
        <v>50</v>
      </c>
      <c r="B18" s="44">
        <v>9.7736716301200008</v>
      </c>
      <c r="C18" s="44">
        <v>13.836402330969999</v>
      </c>
      <c r="D18" s="44">
        <f t="shared" si="0"/>
        <v>0.21483324531449735</v>
      </c>
      <c r="E18">
        <f t="shared" si="1"/>
        <v>65.481173171858799</v>
      </c>
      <c r="F18">
        <f t="shared" si="2"/>
        <v>13.594621155288296</v>
      </c>
      <c r="G18">
        <f t="shared" si="4"/>
        <v>1.8161164517035631</v>
      </c>
      <c r="H18">
        <f t="shared" si="3"/>
        <v>1.1333671094990783</v>
      </c>
    </row>
    <row r="19" spans="1:8" x14ac:dyDescent="0.2">
      <c r="A19" s="43">
        <v>50</v>
      </c>
      <c r="B19" s="44">
        <v>10.1192051654</v>
      </c>
      <c r="C19" s="44">
        <v>13.944968758970001</v>
      </c>
      <c r="D19" s="44">
        <f t="shared" si="0"/>
        <v>0.27274798425673125</v>
      </c>
      <c r="E19">
        <f t="shared" si="1"/>
        <v>83.133585601451685</v>
      </c>
      <c r="F19">
        <f t="shared" si="2"/>
        <v>14.63660283886998</v>
      </c>
      <c r="G19">
        <f t="shared" si="4"/>
        <v>1.919776512287563</v>
      </c>
      <c r="H19">
        <f t="shared" si="3"/>
        <v>1.1654402885026711</v>
      </c>
    </row>
    <row r="20" spans="1:8" x14ac:dyDescent="0.2">
      <c r="A20" s="43">
        <v>50</v>
      </c>
      <c r="B20" s="44">
        <v>10.483529044000001</v>
      </c>
      <c r="C20" s="44">
        <v>14.06397426659</v>
      </c>
      <c r="D20" s="44">
        <f t="shared" si="0"/>
        <v>0.35079929605417032</v>
      </c>
      <c r="E20">
        <f t="shared" si="1"/>
        <v>106.92362543731112</v>
      </c>
      <c r="F20">
        <f t="shared" si="2"/>
        <v>15.870749139154521</v>
      </c>
      <c r="G20">
        <f t="shared" si="4"/>
        <v>2.0290736758675632</v>
      </c>
      <c r="H20">
        <f t="shared" si="3"/>
        <v>1.2005974270272028</v>
      </c>
    </row>
    <row r="21" spans="1:8" x14ac:dyDescent="0.2">
      <c r="A21" s="43">
        <v>50</v>
      </c>
      <c r="B21" s="44">
        <v>10.8311503952</v>
      </c>
      <c r="C21" s="44">
        <v>14.17984805032</v>
      </c>
      <c r="D21" s="44">
        <f t="shared" si="0"/>
        <v>0.44601053650549721</v>
      </c>
      <c r="E21">
        <f t="shared" si="1"/>
        <v>135.94401152687556</v>
      </c>
      <c r="F21">
        <f t="shared" si="2"/>
        <v>17.17233600965956</v>
      </c>
      <c r="G21">
        <f t="shared" si="4"/>
        <v>2.133360081227563</v>
      </c>
      <c r="H21">
        <f t="shared" si="3"/>
        <v>1.2348293776942711</v>
      </c>
    </row>
    <row r="22" spans="1:8" x14ac:dyDescent="0.2">
      <c r="A22" s="43">
        <v>50</v>
      </c>
      <c r="B22" s="44">
        <v>11.239318408100001</v>
      </c>
      <c r="C22" s="44">
        <v>14.32077562513</v>
      </c>
      <c r="D22" s="44">
        <f t="shared" si="0"/>
        <v>0.59128317654108931</v>
      </c>
      <c r="E22">
        <f t="shared" si="1"/>
        <v>180.22311220972404</v>
      </c>
      <c r="F22">
        <f t="shared" si="2"/>
        <v>18.900044695486418</v>
      </c>
      <c r="G22">
        <f t="shared" si="4"/>
        <v>2.2558104850975633</v>
      </c>
      <c r="H22">
        <f t="shared" si="3"/>
        <v>1.2764628312092317</v>
      </c>
    </row>
    <row r="23" spans="1:8" x14ac:dyDescent="0.2">
      <c r="A23" s="43">
        <v>50</v>
      </c>
      <c r="B23" s="44">
        <v>11.575456771800001</v>
      </c>
      <c r="C23" s="44">
        <v>14.44395676459</v>
      </c>
      <c r="D23" s="44">
        <f t="shared" si="0"/>
        <v>0.74582516271855837</v>
      </c>
      <c r="E23">
        <f t="shared" si="1"/>
        <v>227.32750959661661</v>
      </c>
      <c r="F23">
        <f t="shared" si="2"/>
        <v>20.551974553708348</v>
      </c>
      <c r="G23">
        <f t="shared" si="4"/>
        <v>2.3566519942075632</v>
      </c>
      <c r="H23">
        <f t="shared" si="3"/>
        <v>1.3128535535397763</v>
      </c>
    </row>
    <row r="24" spans="1:8" x14ac:dyDescent="0.2">
      <c r="A24" s="43">
        <v>50</v>
      </c>
      <c r="B24" s="44">
        <v>11.7925896278</v>
      </c>
      <c r="C24" s="44">
        <v>14.524337677629999</v>
      </c>
      <c r="D24" s="44">
        <f t="shared" si="0"/>
        <v>0.86651660271363984</v>
      </c>
      <c r="E24">
        <f t="shared" si="1"/>
        <v>264.11426050711742</v>
      </c>
      <c r="F24">
        <f t="shared" si="2"/>
        <v>21.707011775282336</v>
      </c>
      <c r="G24">
        <f t="shared" si="4"/>
        <v>2.4217918510075629</v>
      </c>
      <c r="H24">
        <f t="shared" si="3"/>
        <v>1.3366000418409669</v>
      </c>
    </row>
    <row r="25" spans="1:8" x14ac:dyDescent="0.2">
      <c r="A25" s="43">
        <v>50</v>
      </c>
      <c r="B25" s="44">
        <v>12.002415128000001</v>
      </c>
      <c r="C25" s="44">
        <v>14.606806406600001</v>
      </c>
      <c r="D25" s="44">
        <f t="shared" si="0"/>
        <v>1.0016697037246856</v>
      </c>
      <c r="E25">
        <f t="shared" si="1"/>
        <v>305.30892569528419</v>
      </c>
      <c r="F25">
        <f t="shared" si="2"/>
        <v>22.959547371211873</v>
      </c>
      <c r="G25">
        <f t="shared" si="4"/>
        <v>2.4847395010675632</v>
      </c>
      <c r="H25">
        <f t="shared" si="3"/>
        <v>1.3609633220481192</v>
      </c>
    </row>
  </sheetData>
  <sheetProtection password="E1DD" sheet="1" objects="1" scenarios="1"/>
  <phoneticPr fontId="0" type="noConvers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F9" sqref="F9"/>
    </sheetView>
  </sheetViews>
  <sheetFormatPr defaultRowHeight="12.75" x14ac:dyDescent="0.2"/>
  <cols>
    <col min="1" max="1" width="19" customWidth="1"/>
    <col min="2" max="2" width="18" customWidth="1"/>
    <col min="3" max="3" width="15.5703125" bestFit="1" customWidth="1"/>
    <col min="4" max="5" width="50.140625" bestFit="1" customWidth="1"/>
  </cols>
  <sheetData>
    <row r="1" spans="1:6" x14ac:dyDescent="0.2">
      <c r="A1" t="s">
        <v>437</v>
      </c>
    </row>
    <row r="2" spans="1:6" x14ac:dyDescent="0.2">
      <c r="A2" t="s">
        <v>471</v>
      </c>
      <c r="B2" t="s">
        <v>443</v>
      </c>
      <c r="C2" t="s">
        <v>439</v>
      </c>
      <c r="D2" t="s">
        <v>441</v>
      </c>
      <c r="E2" t="s">
        <v>442</v>
      </c>
      <c r="F2" t="s">
        <v>447</v>
      </c>
    </row>
    <row r="3" spans="1:6" x14ac:dyDescent="0.2">
      <c r="A3" s="112">
        <v>39596</v>
      </c>
      <c r="B3" t="s">
        <v>482</v>
      </c>
      <c r="C3" t="s">
        <v>484</v>
      </c>
      <c r="F3" t="s">
        <v>483</v>
      </c>
    </row>
    <row r="4" spans="1:6" x14ac:dyDescent="0.2">
      <c r="A4" s="112">
        <v>39596</v>
      </c>
      <c r="B4" t="s">
        <v>444</v>
      </c>
      <c r="C4" t="s">
        <v>440</v>
      </c>
      <c r="D4" t="s">
        <v>449</v>
      </c>
      <c r="E4" t="s">
        <v>448</v>
      </c>
      <c r="F4" t="s">
        <v>453</v>
      </c>
    </row>
    <row r="5" spans="1:6" x14ac:dyDescent="0.2">
      <c r="A5" s="112">
        <v>39596</v>
      </c>
      <c r="B5" t="s">
        <v>444</v>
      </c>
      <c r="C5" t="s">
        <v>446</v>
      </c>
      <c r="D5" s="7" t="s">
        <v>314</v>
      </c>
      <c r="E5" s="7" t="s">
        <v>435</v>
      </c>
      <c r="F5" t="s">
        <v>453</v>
      </c>
    </row>
    <row r="6" spans="1:6" x14ac:dyDescent="0.2">
      <c r="A6" s="112">
        <v>39596</v>
      </c>
      <c r="B6" t="s">
        <v>444</v>
      </c>
      <c r="C6" t="s">
        <v>445</v>
      </c>
      <c r="D6" t="s">
        <v>449</v>
      </c>
      <c r="E6" t="s">
        <v>448</v>
      </c>
      <c r="F6" t="s">
        <v>453</v>
      </c>
    </row>
    <row r="7" spans="1:6" x14ac:dyDescent="0.2">
      <c r="A7" s="112">
        <v>39596</v>
      </c>
      <c r="B7" t="s">
        <v>444</v>
      </c>
      <c r="C7" t="s">
        <v>450</v>
      </c>
      <c r="D7" t="s">
        <v>451</v>
      </c>
      <c r="E7" t="s">
        <v>448</v>
      </c>
      <c r="F7" t="s">
        <v>452</v>
      </c>
    </row>
    <row r="8" spans="1:6" x14ac:dyDescent="0.2">
      <c r="A8" s="112">
        <v>39596</v>
      </c>
      <c r="B8" t="s">
        <v>444</v>
      </c>
      <c r="C8" t="s">
        <v>454</v>
      </c>
      <c r="E8" s="7" t="s">
        <v>455</v>
      </c>
      <c r="F8" s="14" t="s">
        <v>485</v>
      </c>
    </row>
    <row r="9" spans="1:6" x14ac:dyDescent="0.2">
      <c r="A9" s="112">
        <v>39596</v>
      </c>
      <c r="B9" t="s">
        <v>456</v>
      </c>
      <c r="C9" t="s">
        <v>457</v>
      </c>
      <c r="E9" s="14" t="s">
        <v>97</v>
      </c>
      <c r="F9" s="14" t="s">
        <v>460</v>
      </c>
    </row>
    <row r="10" spans="1:6" x14ac:dyDescent="0.2">
      <c r="A10" s="112">
        <v>39596</v>
      </c>
      <c r="B10" t="s">
        <v>456</v>
      </c>
      <c r="C10" t="s">
        <v>458</v>
      </c>
      <c r="E10" s="14" t="s">
        <v>97</v>
      </c>
      <c r="F10" s="14" t="s">
        <v>461</v>
      </c>
    </row>
    <row r="11" spans="1:6" x14ac:dyDescent="0.2">
      <c r="A11" s="112">
        <v>39596</v>
      </c>
      <c r="B11" t="s">
        <v>456</v>
      </c>
      <c r="C11" t="s">
        <v>459</v>
      </c>
      <c r="E11" t="s">
        <v>97</v>
      </c>
      <c r="F11" s="14" t="s">
        <v>462</v>
      </c>
    </row>
    <row r="12" spans="1:6" x14ac:dyDescent="0.2">
      <c r="A12" s="112">
        <v>39596</v>
      </c>
      <c r="B12" t="s">
        <v>456</v>
      </c>
      <c r="C12" t="s">
        <v>463</v>
      </c>
      <c r="D12" t="s">
        <v>97</v>
      </c>
      <c r="F12" s="14" t="s">
        <v>467</v>
      </c>
    </row>
    <row r="13" spans="1:6" x14ac:dyDescent="0.2">
      <c r="A13" s="112">
        <v>39596</v>
      </c>
      <c r="B13" t="s">
        <v>456</v>
      </c>
      <c r="C13" t="s">
        <v>464</v>
      </c>
      <c r="D13" t="s">
        <v>97</v>
      </c>
      <c r="F13" s="14" t="s">
        <v>468</v>
      </c>
    </row>
    <row r="14" spans="1:6" x14ac:dyDescent="0.2">
      <c r="A14" s="112">
        <v>39596</v>
      </c>
      <c r="B14" t="s">
        <v>456</v>
      </c>
      <c r="C14" t="s">
        <v>465</v>
      </c>
      <c r="D14" t="s">
        <v>97</v>
      </c>
      <c r="F14" s="14" t="s">
        <v>469</v>
      </c>
    </row>
    <row r="15" spans="1:6" x14ac:dyDescent="0.2">
      <c r="A15" s="112">
        <v>39596</v>
      </c>
      <c r="B15" t="s">
        <v>456</v>
      </c>
      <c r="C15" t="s">
        <v>466</v>
      </c>
      <c r="D15" t="s">
        <v>97</v>
      </c>
      <c r="F15" s="14" t="s">
        <v>470</v>
      </c>
    </row>
    <row r="16" spans="1:6" x14ac:dyDescent="0.2">
      <c r="A16" s="112">
        <v>39596</v>
      </c>
      <c r="B16" t="s">
        <v>456</v>
      </c>
      <c r="C16" t="s">
        <v>476</v>
      </c>
      <c r="D16" t="s">
        <v>107</v>
      </c>
      <c r="E16" t="s">
        <v>472</v>
      </c>
      <c r="F16" s="14" t="s">
        <v>480</v>
      </c>
    </row>
    <row r="17" spans="1:6" x14ac:dyDescent="0.2">
      <c r="A17" s="112">
        <v>39596</v>
      </c>
      <c r="B17" t="s">
        <v>456</v>
      </c>
      <c r="C17" t="s">
        <v>477</v>
      </c>
      <c r="D17" t="s">
        <v>106</v>
      </c>
      <c r="E17" t="s">
        <v>473</v>
      </c>
      <c r="F17" s="14" t="s">
        <v>480</v>
      </c>
    </row>
    <row r="18" spans="1:6" x14ac:dyDescent="0.2">
      <c r="A18" s="112">
        <v>39596</v>
      </c>
      <c r="B18" t="s">
        <v>456</v>
      </c>
      <c r="C18" t="s">
        <v>478</v>
      </c>
      <c r="D18" t="s">
        <v>42</v>
      </c>
      <c r="E18" t="s">
        <v>474</v>
      </c>
      <c r="F18" s="14" t="s">
        <v>480</v>
      </c>
    </row>
    <row r="19" spans="1:6" x14ac:dyDescent="0.2">
      <c r="A19" s="112">
        <v>39596</v>
      </c>
      <c r="B19" t="s">
        <v>456</v>
      </c>
      <c r="C19" t="s">
        <v>479</v>
      </c>
      <c r="D19" t="s">
        <v>72</v>
      </c>
      <c r="E19" t="s">
        <v>475</v>
      </c>
      <c r="F19" s="14" t="s">
        <v>480</v>
      </c>
    </row>
    <row r="20" spans="1:6" x14ac:dyDescent="0.2">
      <c r="B20" t="s">
        <v>481</v>
      </c>
    </row>
  </sheetData>
  <sheetProtection password="E1DD" sheet="1" objects="1" scenarios="1"/>
  <phoneticPr fontId="1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26"/>
  <sheetViews>
    <sheetView topLeftCell="A47" workbookViewId="0">
      <selection activeCell="B65" sqref="B65"/>
    </sheetView>
  </sheetViews>
  <sheetFormatPr defaultRowHeight="12.75" x14ac:dyDescent="0.2"/>
  <cols>
    <col min="1" max="1" width="38" customWidth="1"/>
    <col min="2" max="2" width="14.28515625" customWidth="1"/>
    <col min="3" max="3" width="71.85546875" customWidth="1"/>
    <col min="4" max="4" width="20" customWidth="1"/>
    <col min="5" max="5" width="19.140625" bestFit="1" customWidth="1"/>
    <col min="6" max="7" width="12.28515625" customWidth="1"/>
    <col min="8" max="8" width="13" customWidth="1"/>
  </cols>
  <sheetData>
    <row r="1" spans="1:7" x14ac:dyDescent="0.2">
      <c r="A1" s="38" t="s">
        <v>156</v>
      </c>
    </row>
    <row r="2" spans="1:7" x14ac:dyDescent="0.2">
      <c r="A2" s="38"/>
      <c r="B2" s="38"/>
      <c r="C2" s="38"/>
    </row>
    <row r="3" spans="1:7" ht="36" customHeight="1" x14ac:dyDescent="0.2">
      <c r="A3" s="52" t="s">
        <v>18</v>
      </c>
      <c r="B3" s="3" t="s">
        <v>1</v>
      </c>
      <c r="C3" s="4" t="s">
        <v>2</v>
      </c>
    </row>
    <row r="4" spans="1:7" x14ac:dyDescent="0.2">
      <c r="A4" s="84" t="s">
        <v>377</v>
      </c>
      <c r="B4" s="6"/>
      <c r="C4" s="7"/>
    </row>
    <row r="5" spans="1:7" ht="15.75" x14ac:dyDescent="0.3">
      <c r="A5" s="5" t="s">
        <v>19</v>
      </c>
      <c r="B5" s="6">
        <f>Inputs!B9</f>
        <v>3.99</v>
      </c>
      <c r="C5" s="7" t="s">
        <v>133</v>
      </c>
    </row>
    <row r="6" spans="1:7" ht="15.75" x14ac:dyDescent="0.3">
      <c r="A6" s="5" t="s">
        <v>20</v>
      </c>
      <c r="B6" s="6">
        <f>Inputs!B10</f>
        <v>12.41</v>
      </c>
      <c r="C6" s="7" t="s">
        <v>134</v>
      </c>
    </row>
    <row r="7" spans="1:7" ht="15.75" x14ac:dyDescent="0.3">
      <c r="A7" s="5" t="s">
        <v>21</v>
      </c>
      <c r="B7" s="14">
        <f>Inputs!B7</f>
        <v>3.99</v>
      </c>
      <c r="C7" s="7" t="s">
        <v>135</v>
      </c>
    </row>
    <row r="8" spans="1:7" ht="15.75" x14ac:dyDescent="0.3">
      <c r="A8" s="5" t="s">
        <v>22</v>
      </c>
      <c r="B8" s="6">
        <f>Inputs!B14</f>
        <v>1.5900000000000001E-2</v>
      </c>
      <c r="C8" s="7" t="s">
        <v>136</v>
      </c>
    </row>
    <row r="9" spans="1:7" x14ac:dyDescent="0.2">
      <c r="A9" s="5"/>
      <c r="B9" s="6"/>
      <c r="C9" s="7"/>
    </row>
    <row r="10" spans="1:7" ht="31.5" customHeight="1" x14ac:dyDescent="0.3">
      <c r="A10" s="5" t="s">
        <v>43</v>
      </c>
      <c r="B10" s="107">
        <f>B5 *((0.0685 * B6^0.8) / (B7^0.4 *B8^0.3)-1)</f>
        <v>9.1996206760202343E-2</v>
      </c>
      <c r="C10" s="8" t="s">
        <v>319</v>
      </c>
      <c r="D10" s="2"/>
      <c r="E10" s="2"/>
      <c r="F10" s="2"/>
      <c r="G10" s="2"/>
    </row>
    <row r="11" spans="1:7" ht="14.25" x14ac:dyDescent="0.25">
      <c r="A11" s="9" t="s">
        <v>46</v>
      </c>
      <c r="B11" s="108">
        <f>MAX(B10, 0)</f>
        <v>9.1996206760202343E-2</v>
      </c>
      <c r="C11" s="33" t="s">
        <v>425</v>
      </c>
    </row>
    <row r="13" spans="1:7" x14ac:dyDescent="0.2">
      <c r="A13" s="20" t="s">
        <v>0</v>
      </c>
      <c r="B13" s="21" t="s">
        <v>1</v>
      </c>
      <c r="C13" s="22" t="s">
        <v>2</v>
      </c>
    </row>
    <row r="14" spans="1:7" x14ac:dyDescent="0.2">
      <c r="A14" s="72" t="s">
        <v>235</v>
      </c>
      <c r="B14" s="17"/>
      <c r="C14" s="75"/>
    </row>
    <row r="15" spans="1:7" ht="15.75" x14ac:dyDescent="0.3">
      <c r="A15" s="5" t="s">
        <v>3</v>
      </c>
      <c r="B15" s="6">
        <f>Inputs!B11</f>
        <v>5.94</v>
      </c>
      <c r="C15" s="7" t="s">
        <v>118</v>
      </c>
    </row>
    <row r="16" spans="1:7" ht="15.75" x14ac:dyDescent="0.3">
      <c r="A16" s="5" t="s">
        <v>6</v>
      </c>
      <c r="B16" s="6">
        <f>Inputs!B42</f>
        <v>26.561977948546609</v>
      </c>
      <c r="C16" s="7" t="s">
        <v>380</v>
      </c>
    </row>
    <row r="17" spans="1:7" ht="15.75" x14ac:dyDescent="0.3">
      <c r="A17" s="5" t="s">
        <v>298</v>
      </c>
      <c r="B17" s="6">
        <f>Inputs!B12</f>
        <v>8620</v>
      </c>
      <c r="C17" s="7" t="s">
        <v>296</v>
      </c>
    </row>
    <row r="18" spans="1:7" ht="15.75" x14ac:dyDescent="0.3">
      <c r="A18" s="5" t="s">
        <v>299</v>
      </c>
      <c r="B18" s="6">
        <f>Inputs!B13</f>
        <v>177.22</v>
      </c>
      <c r="C18" s="7" t="s">
        <v>297</v>
      </c>
    </row>
    <row r="19" spans="1:7" ht="15.75" x14ac:dyDescent="0.3">
      <c r="A19" s="5" t="s">
        <v>5</v>
      </c>
      <c r="B19" s="6">
        <f>B17/B18</f>
        <v>48.640108339916488</v>
      </c>
      <c r="C19" s="7" t="s">
        <v>252</v>
      </c>
    </row>
    <row r="20" spans="1:7" x14ac:dyDescent="0.2">
      <c r="A20" s="5" t="s">
        <v>4</v>
      </c>
      <c r="B20" s="14">
        <f>Inputs!B31</f>
        <v>0.7</v>
      </c>
      <c r="C20" s="7" t="s">
        <v>52</v>
      </c>
    </row>
    <row r="21" spans="1:7" ht="16.5" customHeight="1" x14ac:dyDescent="0.3">
      <c r="A21" s="18" t="s">
        <v>55</v>
      </c>
      <c r="B21" s="25">
        <f>B15 * (B16 / B19)^B20</f>
        <v>3.8893099953147341</v>
      </c>
      <c r="C21" s="27" t="s">
        <v>119</v>
      </c>
    </row>
    <row r="22" spans="1:7" x14ac:dyDescent="0.2">
      <c r="A22" s="26" t="s">
        <v>59</v>
      </c>
      <c r="B22" s="37">
        <f>VLOOKUP(Inputs!$B$33, $A$73:$E$77, 3, FALSE)</f>
        <v>0.7</v>
      </c>
      <c r="C22" s="7" t="s">
        <v>60</v>
      </c>
    </row>
    <row r="23" spans="1:7" ht="28.5" customHeight="1" x14ac:dyDescent="0.25">
      <c r="A23" s="10" t="s">
        <v>148</v>
      </c>
      <c r="B23" s="108">
        <f>B22 * B21</f>
        <v>2.7225169967203136</v>
      </c>
      <c r="C23" s="23" t="s">
        <v>424</v>
      </c>
    </row>
    <row r="25" spans="1:7" x14ac:dyDescent="0.2">
      <c r="A25" s="20" t="s">
        <v>91</v>
      </c>
      <c r="B25" s="49" t="s">
        <v>1</v>
      </c>
      <c r="C25" s="50" t="s">
        <v>2</v>
      </c>
    </row>
    <row r="26" spans="1:7" x14ac:dyDescent="0.2">
      <c r="A26" s="82" t="s">
        <v>270</v>
      </c>
      <c r="B26" s="25"/>
      <c r="C26" s="74"/>
    </row>
    <row r="27" spans="1:7" ht="15.75" x14ac:dyDescent="0.3">
      <c r="A27" s="5" t="s">
        <v>6</v>
      </c>
      <c r="B27" s="6">
        <f>Inputs!B42</f>
        <v>26.561977948546609</v>
      </c>
      <c r="C27" s="7" t="s">
        <v>137</v>
      </c>
    </row>
    <row r="28" spans="1:7" ht="15.75" x14ac:dyDescent="0.3">
      <c r="A28" s="5" t="s">
        <v>54</v>
      </c>
      <c r="B28" s="6">
        <f>Inputs!$B$29</f>
        <v>0.43</v>
      </c>
      <c r="C28" s="7" t="s">
        <v>181</v>
      </c>
    </row>
    <row r="29" spans="1:7" ht="15.75" x14ac:dyDescent="0.3">
      <c r="A29" s="5" t="s">
        <v>9</v>
      </c>
      <c r="B29" s="42">
        <f>10^PERCENTILE(BlenchZeroBedTable!$E$2:$E$16, PERCENTRANK(BlenchZeroBedTable!$D$2:$D$16,LOG10(B28), 10))</f>
        <v>1.3575677281396046</v>
      </c>
      <c r="C29" s="7" t="s">
        <v>138</v>
      </c>
    </row>
    <row r="30" spans="1:7" ht="29.25" customHeight="1" x14ac:dyDescent="0.3">
      <c r="A30" s="5" t="s">
        <v>8</v>
      </c>
      <c r="B30" s="6">
        <f>B27^(2/3) / (B29^(1/3))</f>
        <v>8.0399455227790391</v>
      </c>
      <c r="C30" s="27" t="s">
        <v>117</v>
      </c>
      <c r="D30" s="1"/>
      <c r="E30" s="1"/>
      <c r="F30" s="1"/>
      <c r="G30" s="1"/>
    </row>
    <row r="31" spans="1:7" ht="18" customHeight="1" x14ac:dyDescent="0.2">
      <c r="A31" s="5" t="s">
        <v>57</v>
      </c>
      <c r="B31" s="6" t="str">
        <f>Inputs!$B$33</f>
        <v>severe</v>
      </c>
      <c r="C31" s="27"/>
      <c r="D31" s="1"/>
      <c r="E31" s="1"/>
      <c r="F31" s="1"/>
      <c r="G31" s="1"/>
    </row>
    <row r="32" spans="1:7" ht="12.75" customHeight="1" x14ac:dyDescent="0.2">
      <c r="A32" s="5" t="s">
        <v>59</v>
      </c>
      <c r="B32" s="37">
        <f>VLOOKUP(B31, $A$73:$E$77, 5, FALSE)</f>
        <v>0.6</v>
      </c>
      <c r="C32" s="7" t="s">
        <v>62</v>
      </c>
      <c r="D32" s="1"/>
      <c r="E32" s="1"/>
      <c r="F32" s="1"/>
      <c r="G32" s="1"/>
    </row>
    <row r="33" spans="1:9" ht="34.5" customHeight="1" x14ac:dyDescent="0.25">
      <c r="A33" s="10" t="s">
        <v>148</v>
      </c>
      <c r="B33" s="108">
        <f>B30 * B32</f>
        <v>4.8239673136674233</v>
      </c>
      <c r="C33" s="23" t="s">
        <v>426</v>
      </c>
      <c r="D33" s="1"/>
      <c r="E33" s="1"/>
      <c r="F33" s="1"/>
      <c r="G33" s="1"/>
    </row>
    <row r="35" spans="1:9" x14ac:dyDescent="0.2">
      <c r="A35" s="20" t="s">
        <v>10</v>
      </c>
      <c r="B35" s="49" t="s">
        <v>1</v>
      </c>
      <c r="C35" s="50" t="s">
        <v>2</v>
      </c>
    </row>
    <row r="36" spans="1:9" x14ac:dyDescent="0.2">
      <c r="A36" s="83" t="s">
        <v>271</v>
      </c>
      <c r="C36" s="7"/>
    </row>
    <row r="37" spans="1:9" ht="14.25" x14ac:dyDescent="0.2">
      <c r="A37" s="5" t="s">
        <v>12</v>
      </c>
      <c r="B37" s="6">
        <f>Inputs!B5</f>
        <v>3180</v>
      </c>
      <c r="C37" s="7" t="s">
        <v>13</v>
      </c>
      <c r="D37" s="38"/>
    </row>
    <row r="38" spans="1:9" ht="15.75" x14ac:dyDescent="0.3">
      <c r="A38" s="14" t="s">
        <v>93</v>
      </c>
      <c r="B38" s="6">
        <f>Inputs!B29</f>
        <v>0.43</v>
      </c>
      <c r="C38" s="16" t="s">
        <v>53</v>
      </c>
      <c r="D38" s="38"/>
    </row>
    <row r="39" spans="1:9" ht="15.75" x14ac:dyDescent="0.3">
      <c r="A39" s="6" t="s">
        <v>14</v>
      </c>
      <c r="B39" s="6">
        <f>1.76 * SQRT(B38)</f>
        <v>1.1541091802771521</v>
      </c>
      <c r="C39" s="7" t="s">
        <v>15</v>
      </c>
    </row>
    <row r="40" spans="1:9" ht="25.5" x14ac:dyDescent="0.2">
      <c r="A40" s="1" t="s">
        <v>302</v>
      </c>
      <c r="B40" s="28" t="str">
        <f>Inputs!B28</f>
        <v>no</v>
      </c>
      <c r="C40" s="16"/>
    </row>
    <row r="41" spans="1:9" x14ac:dyDescent="0.2">
      <c r="A41" s="1" t="s">
        <v>303</v>
      </c>
      <c r="B41" s="6">
        <f>0.47 * (B37 / B39)^(1/3)</f>
        <v>6.5890772526173276</v>
      </c>
      <c r="C41" s="16" t="s">
        <v>222</v>
      </c>
    </row>
    <row r="42" spans="1:9" x14ac:dyDescent="0.2">
      <c r="A42" s="1" t="s">
        <v>304</v>
      </c>
      <c r="B42" s="6">
        <f>Inputs!$B$7</f>
        <v>3.99</v>
      </c>
      <c r="C42" s="16" t="s">
        <v>222</v>
      </c>
    </row>
    <row r="43" spans="1:9" ht="15.75" x14ac:dyDescent="0.3">
      <c r="A43" s="5" t="s">
        <v>11</v>
      </c>
      <c r="B43" s="6">
        <f>IF(B40="yes",B41,B42)</f>
        <v>3.99</v>
      </c>
      <c r="C43" s="7" t="s">
        <v>317</v>
      </c>
    </row>
    <row r="44" spans="1:9" ht="27" customHeight="1" x14ac:dyDescent="0.2">
      <c r="A44" s="14" t="s">
        <v>59</v>
      </c>
      <c r="B44" s="25">
        <f>VLOOKUP(Inputs!$B$33, $A$73:$E$77, 4, FALSE)</f>
        <v>0.75</v>
      </c>
      <c r="C44" s="7" t="s">
        <v>61</v>
      </c>
    </row>
    <row r="45" spans="1:9" ht="15.75" x14ac:dyDescent="0.3">
      <c r="A45" s="10" t="s">
        <v>148</v>
      </c>
      <c r="B45" s="108">
        <f>B43 * B44</f>
        <v>2.9925000000000002</v>
      </c>
      <c r="C45" s="90" t="s">
        <v>318</v>
      </c>
      <c r="E45" s="11" t="s">
        <v>322</v>
      </c>
      <c r="F45" s="3"/>
      <c r="G45" s="3"/>
      <c r="H45" s="3"/>
      <c r="I45" s="4"/>
    </row>
    <row r="46" spans="1:9" ht="63.75" x14ac:dyDescent="0.2">
      <c r="A46" s="25"/>
      <c r="B46" s="17"/>
      <c r="C46" s="24"/>
      <c r="E46" s="30" t="s">
        <v>84</v>
      </c>
      <c r="F46" s="55" t="s">
        <v>83</v>
      </c>
      <c r="G46" s="55" t="s">
        <v>266</v>
      </c>
      <c r="H46" s="55" t="s">
        <v>87</v>
      </c>
      <c r="I46" s="56" t="s">
        <v>86</v>
      </c>
    </row>
    <row r="47" spans="1:9" x14ac:dyDescent="0.2">
      <c r="A47" s="51" t="s">
        <v>68</v>
      </c>
      <c r="B47" s="21" t="s">
        <v>1</v>
      </c>
      <c r="C47" s="50" t="s">
        <v>2</v>
      </c>
      <c r="E47" s="5">
        <v>2</v>
      </c>
      <c r="F47" s="6">
        <f>LOG10(E47)</f>
        <v>0.3010299956639812</v>
      </c>
      <c r="G47" s="6">
        <f>PERCENTRANK(NeillCV2feettable!$G$2:$G$28,LOG10($B$49), 10)</f>
        <v>5.0546367299999999E-2</v>
      </c>
      <c r="H47" s="42">
        <f>PERCENTILE(NeillCV2feettable!$H$2:$H$28, G47)</f>
        <v>0.19474860377215217</v>
      </c>
      <c r="I47" s="7">
        <f>10^H47</f>
        <v>1.5658444011362083</v>
      </c>
    </row>
    <row r="48" spans="1:9" x14ac:dyDescent="0.2">
      <c r="A48" s="82" t="s">
        <v>233</v>
      </c>
      <c r="B48" s="17"/>
      <c r="C48" s="74"/>
      <c r="E48" s="5"/>
      <c r="F48" s="6"/>
      <c r="G48" s="6"/>
      <c r="H48" s="42"/>
      <c r="I48" s="7"/>
    </row>
    <row r="49" spans="1:9" ht="15.75" x14ac:dyDescent="0.3">
      <c r="A49" s="82" t="s">
        <v>292</v>
      </c>
      <c r="B49" s="25">
        <f>Inputs!B29</f>
        <v>0.43</v>
      </c>
      <c r="C49" s="74" t="s">
        <v>265</v>
      </c>
      <c r="E49" s="5"/>
      <c r="F49" s="6"/>
      <c r="G49" s="6"/>
      <c r="H49" s="42"/>
      <c r="I49" s="7"/>
    </row>
    <row r="50" spans="1:9" ht="15.75" x14ac:dyDescent="0.3">
      <c r="A50" s="26" t="s">
        <v>11</v>
      </c>
      <c r="B50" s="25">
        <f>Inputs!B7</f>
        <v>3.99</v>
      </c>
      <c r="C50" s="27" t="s">
        <v>64</v>
      </c>
      <c r="E50" s="5">
        <v>5</v>
      </c>
      <c r="F50" s="6">
        <f>LOG10(E50)</f>
        <v>0.69897000433601886</v>
      </c>
      <c r="G50" s="6">
        <f>PERCENTRANK(NeillCV5feettable!$G$2:$G$28,LOG10($B$49), 10)</f>
        <v>3.7994198999999999E-2</v>
      </c>
      <c r="H50" s="42">
        <f>PERCENTILE(NeillCV5feettable!$H$2:$H$28, G50)</f>
        <v>0.36362900406660581</v>
      </c>
      <c r="I50" s="7">
        <f>10^H50</f>
        <v>2.3100905528746822</v>
      </c>
    </row>
    <row r="51" spans="1:9" ht="15.75" x14ac:dyDescent="0.3">
      <c r="A51" s="26" t="s">
        <v>66</v>
      </c>
      <c r="B51" s="42">
        <f>10^PERCENTILE($H$47:$H$53, PERCENTRANK($F$47:$F$53,LOG10(B50), 10))</f>
        <v>2.0991348843336972</v>
      </c>
      <c r="C51" s="27" t="s">
        <v>139</v>
      </c>
      <c r="E51" s="5">
        <v>10</v>
      </c>
      <c r="F51" s="6">
        <f>LOG10(E51)</f>
        <v>1</v>
      </c>
      <c r="G51" s="6">
        <f>PERCENTRANK(NeillCV10feettable!$G$2:$G$25,LOG10($B$49), 10)</f>
        <v>5.06575805E-2</v>
      </c>
      <c r="H51" s="42">
        <f>PERCENTILE(NeillCV10feettable!$H$2:$H$25, G51)</f>
        <v>0.52447692578908067</v>
      </c>
      <c r="I51" s="7">
        <f>10^H51</f>
        <v>3.3456224197739401</v>
      </c>
    </row>
    <row r="52" spans="1:9" ht="15.75" x14ac:dyDescent="0.3">
      <c r="A52" s="26" t="s">
        <v>20</v>
      </c>
      <c r="B52" s="25">
        <f>Inputs!B10</f>
        <v>12.41</v>
      </c>
      <c r="C52" s="27" t="s">
        <v>65</v>
      </c>
      <c r="E52" s="5">
        <v>20</v>
      </c>
      <c r="F52" s="6">
        <f>LOG10(E52)</f>
        <v>1.3010299956639813</v>
      </c>
      <c r="G52" s="6">
        <f>PERCENTRANK(NeillCV20feettable!$G$2:$G$29,LOG10($B$49), 10)</f>
        <v>4.5398271699999999E-2</v>
      </c>
      <c r="H52" s="42">
        <f>PERCENTILE(NeillCV20feettable!$H$2:$H$29, G52)</f>
        <v>0.67058209719305006</v>
      </c>
      <c r="I52" s="7">
        <f>10^H52</f>
        <v>4.6836248026922469</v>
      </c>
    </row>
    <row r="53" spans="1:9" ht="29.25" x14ac:dyDescent="0.25">
      <c r="A53" s="60" t="s">
        <v>148</v>
      </c>
      <c r="B53" s="108">
        <f>B50 * (B52 / B51 - 1)</f>
        <v>19.598717604355965</v>
      </c>
      <c r="C53" s="23" t="s">
        <v>67</v>
      </c>
      <c r="E53" s="47">
        <v>50</v>
      </c>
      <c r="F53" s="53">
        <f>LOG10(E53)</f>
        <v>1.6989700043360187</v>
      </c>
      <c r="G53" s="53">
        <f>PERCENTRANK(NeillCV50feettable!$G$2:$G$25,LOG10($B$49), 10)</f>
        <v>3.9107734599999999E-2</v>
      </c>
      <c r="H53" s="57">
        <f>PERCENTILE(NeillCV50feettable!$H$2:$H$25, G53)</f>
        <v>0.85691550365267033</v>
      </c>
      <c r="I53" s="48">
        <f>10^H53</f>
        <v>7.1930901560510421</v>
      </c>
    </row>
    <row r="54" spans="1:9" x14ac:dyDescent="0.2">
      <c r="A54" s="25"/>
      <c r="B54" s="17"/>
      <c r="C54" s="24"/>
    </row>
    <row r="55" spans="1:9" x14ac:dyDescent="0.2">
      <c r="A55" s="51" t="s">
        <v>166</v>
      </c>
      <c r="B55" s="49" t="s">
        <v>1</v>
      </c>
      <c r="C55" s="45" t="s">
        <v>2</v>
      </c>
    </row>
    <row r="56" spans="1:9" x14ac:dyDescent="0.2">
      <c r="A56" s="82" t="s">
        <v>233</v>
      </c>
      <c r="B56" s="25"/>
      <c r="C56" s="27"/>
    </row>
    <row r="57" spans="1:9" x14ac:dyDescent="0.2">
      <c r="A57" s="26" t="s">
        <v>35</v>
      </c>
      <c r="B57" s="25">
        <f>Inputs!B5/Inputs!B6</f>
        <v>26.561977948546609</v>
      </c>
      <c r="C57" s="27" t="s">
        <v>88</v>
      </c>
    </row>
    <row r="58" spans="1:9" x14ac:dyDescent="0.2">
      <c r="A58" s="73" t="s">
        <v>89</v>
      </c>
      <c r="B58" s="109">
        <f>IF(q &lt; 3.45, 2.47 + (q/3.45)*0.937, 2.45*B57^0.24)</f>
        <v>5.3825563258415992</v>
      </c>
      <c r="C58" s="27" t="s">
        <v>316</v>
      </c>
    </row>
    <row r="59" spans="1:9" x14ac:dyDescent="0.2">
      <c r="A59" s="26" t="s">
        <v>90</v>
      </c>
      <c r="B59" s="25" t="b">
        <f>IF(Inputs!B14&gt;=0.004, IF(Inputs!B14&lt;0.008, TRUE, FALSE), FALSE)</f>
        <v>0</v>
      </c>
      <c r="C59" s="27"/>
    </row>
    <row r="60" spans="1:9" ht="15.75" x14ac:dyDescent="0.3">
      <c r="A60" s="47" t="s">
        <v>262</v>
      </c>
      <c r="B60" s="19" t="b">
        <f>IF(Inputs!B29 &lt;=0.7, IF(Inputs!B29&gt;0.5, TRUE, FALSE), FALSE)</f>
        <v>0</v>
      </c>
      <c r="C60" s="48"/>
    </row>
    <row r="61" spans="1:9" x14ac:dyDescent="0.2">
      <c r="A61" s="25"/>
      <c r="B61" s="17"/>
      <c r="C61" s="24"/>
    </row>
    <row r="62" spans="1:9" x14ac:dyDescent="0.2">
      <c r="A62" s="51" t="s">
        <v>92</v>
      </c>
      <c r="B62" s="49" t="s">
        <v>1</v>
      </c>
      <c r="C62" s="45" t="s">
        <v>2</v>
      </c>
    </row>
    <row r="63" spans="1:9" x14ac:dyDescent="0.2">
      <c r="A63" s="82" t="s">
        <v>233</v>
      </c>
      <c r="B63" s="25"/>
      <c r="C63" s="27"/>
    </row>
    <row r="64" spans="1:9" x14ac:dyDescent="0.2">
      <c r="A64" s="26" t="s">
        <v>59</v>
      </c>
      <c r="B64" s="25">
        <f>B44</f>
        <v>0.75</v>
      </c>
      <c r="C64" s="27" t="s">
        <v>383</v>
      </c>
    </row>
    <row r="65" spans="1:7" ht="15.75" x14ac:dyDescent="0.3">
      <c r="A65" s="26" t="s">
        <v>93</v>
      </c>
      <c r="B65" s="25">
        <f>Inputs!B7</f>
        <v>3.99</v>
      </c>
      <c r="C65" s="27" t="s">
        <v>314</v>
      </c>
    </row>
    <row r="66" spans="1:7" ht="15.75" x14ac:dyDescent="0.3">
      <c r="A66" s="60" t="s">
        <v>287</v>
      </c>
      <c r="B66" s="108">
        <f>B64*B65</f>
        <v>2.9925000000000002</v>
      </c>
      <c r="C66" s="46" t="s">
        <v>315</v>
      </c>
      <c r="D66" s="38"/>
    </row>
    <row r="67" spans="1:7" x14ac:dyDescent="0.2">
      <c r="A67" s="63"/>
      <c r="B67" s="17"/>
      <c r="C67" s="55"/>
      <c r="D67" s="38"/>
    </row>
    <row r="69" spans="1:7" x14ac:dyDescent="0.2">
      <c r="A69" s="34" t="s">
        <v>120</v>
      </c>
      <c r="B69" s="11" t="s">
        <v>129</v>
      </c>
      <c r="C69" s="3"/>
      <c r="D69" s="3"/>
      <c r="E69" s="4"/>
      <c r="F69" s="6"/>
      <c r="G69" s="6"/>
    </row>
    <row r="70" spans="1:7" x14ac:dyDescent="0.2">
      <c r="A70" s="35"/>
      <c r="B70" s="5" t="s">
        <v>121</v>
      </c>
      <c r="C70" s="6"/>
      <c r="D70" s="6"/>
      <c r="E70" s="7"/>
      <c r="F70" s="6"/>
      <c r="G70" s="6"/>
    </row>
    <row r="71" spans="1:7" x14ac:dyDescent="0.2">
      <c r="A71" s="35"/>
      <c r="B71" s="5" t="s">
        <v>16</v>
      </c>
      <c r="C71" s="28" t="s">
        <v>17</v>
      </c>
      <c r="D71" s="28" t="s">
        <v>10</v>
      </c>
      <c r="E71" s="31" t="s">
        <v>7</v>
      </c>
      <c r="F71" s="6"/>
      <c r="G71" s="6"/>
    </row>
    <row r="72" spans="1:7" ht="27" x14ac:dyDescent="0.3">
      <c r="A72" s="35" t="s">
        <v>41</v>
      </c>
      <c r="B72" s="12" t="s">
        <v>26</v>
      </c>
      <c r="C72" s="28" t="s">
        <v>25</v>
      </c>
      <c r="D72" s="28" t="s">
        <v>24</v>
      </c>
      <c r="E72" s="31" t="s">
        <v>23</v>
      </c>
      <c r="F72" s="6"/>
      <c r="G72" s="6"/>
    </row>
    <row r="73" spans="1:7" x14ac:dyDescent="0.2">
      <c r="A73" s="35" t="s">
        <v>36</v>
      </c>
      <c r="B73" s="30" t="s">
        <v>27</v>
      </c>
      <c r="C73" s="28">
        <v>0.5</v>
      </c>
      <c r="D73" s="28">
        <v>0.25</v>
      </c>
      <c r="E73" s="31">
        <v>0.6</v>
      </c>
      <c r="F73" s="6"/>
      <c r="G73" s="6"/>
    </row>
    <row r="74" spans="1:7" x14ac:dyDescent="0.2">
      <c r="A74" s="35" t="s">
        <v>37</v>
      </c>
      <c r="B74" s="30" t="s">
        <v>28</v>
      </c>
      <c r="C74" s="28">
        <v>0.6</v>
      </c>
      <c r="D74" s="28">
        <v>0.5</v>
      </c>
      <c r="E74" s="31">
        <v>0.6</v>
      </c>
      <c r="F74" s="6"/>
      <c r="G74" s="6"/>
    </row>
    <row r="75" spans="1:7" x14ac:dyDescent="0.2">
      <c r="A75" s="35" t="s">
        <v>38</v>
      </c>
      <c r="B75" s="30" t="s">
        <v>29</v>
      </c>
      <c r="C75" s="28">
        <v>0.7</v>
      </c>
      <c r="D75" s="28">
        <v>0.75</v>
      </c>
      <c r="E75" s="31">
        <v>0.6</v>
      </c>
      <c r="F75" s="6"/>
      <c r="G75" s="6"/>
    </row>
    <row r="76" spans="1:7" ht="25.5" x14ac:dyDescent="0.2">
      <c r="A76" s="35" t="s">
        <v>39</v>
      </c>
      <c r="B76" s="30" t="s">
        <v>30</v>
      </c>
      <c r="C76" s="28" t="s">
        <v>63</v>
      </c>
      <c r="D76" s="28">
        <v>1</v>
      </c>
      <c r="E76" s="31" t="s">
        <v>63</v>
      </c>
      <c r="F76" s="6"/>
      <c r="G76" s="6"/>
    </row>
    <row r="77" spans="1:7" ht="25.5" x14ac:dyDescent="0.2">
      <c r="A77" s="36" t="s">
        <v>40</v>
      </c>
      <c r="B77" s="13" t="s">
        <v>31</v>
      </c>
      <c r="C77" s="29" t="s">
        <v>63</v>
      </c>
      <c r="D77" s="29">
        <v>1.25</v>
      </c>
      <c r="E77" s="32" t="s">
        <v>63</v>
      </c>
      <c r="F77" s="6"/>
      <c r="G77" s="6"/>
    </row>
    <row r="78" spans="1:7" x14ac:dyDescent="0.2">
      <c r="A78" s="6"/>
      <c r="B78" s="55"/>
      <c r="C78" s="28"/>
      <c r="D78" s="28"/>
      <c r="E78" s="28"/>
      <c r="F78" s="6"/>
      <c r="G78" s="6"/>
    </row>
    <row r="79" spans="1:7" x14ac:dyDescent="0.2">
      <c r="D79" s="28"/>
      <c r="E79" s="28"/>
      <c r="F79" s="6"/>
      <c r="G79" s="6"/>
    </row>
    <row r="80" spans="1:7" x14ac:dyDescent="0.2">
      <c r="D80" s="28"/>
      <c r="E80" s="28"/>
      <c r="F80" s="6"/>
      <c r="G80" s="6"/>
    </row>
    <row r="81" spans="4:7" x14ac:dyDescent="0.2">
      <c r="D81" s="28"/>
      <c r="E81" s="28"/>
      <c r="F81" s="6"/>
      <c r="G81" s="6"/>
    </row>
    <row r="82" spans="4:7" ht="13.5" customHeight="1" x14ac:dyDescent="0.2">
      <c r="D82" s="28"/>
      <c r="E82" s="28"/>
      <c r="F82" s="6"/>
      <c r="G82" s="6"/>
    </row>
    <row r="83" spans="4:7" x14ac:dyDescent="0.2">
      <c r="D83" s="28"/>
      <c r="E83" s="28"/>
      <c r="F83" s="6"/>
      <c r="G83" s="6"/>
    </row>
    <row r="84" spans="4:7" x14ac:dyDescent="0.2">
      <c r="D84" s="28"/>
      <c r="E84" s="28"/>
      <c r="F84" s="6"/>
      <c r="G84" s="6"/>
    </row>
    <row r="85" spans="4:7" x14ac:dyDescent="0.2">
      <c r="D85" s="28"/>
      <c r="E85" s="28"/>
      <c r="F85" s="6"/>
      <c r="G85" s="6"/>
    </row>
    <row r="86" spans="4:7" x14ac:dyDescent="0.2">
      <c r="D86" s="28"/>
      <c r="E86" s="28"/>
      <c r="F86" s="6"/>
      <c r="G86" s="6"/>
    </row>
    <row r="87" spans="4:7" x14ac:dyDescent="0.2">
      <c r="D87" s="28"/>
      <c r="E87" s="28"/>
      <c r="F87" s="6"/>
      <c r="G87" s="6"/>
    </row>
    <row r="88" spans="4:7" x14ac:dyDescent="0.2">
      <c r="D88" s="28"/>
      <c r="E88" s="28"/>
      <c r="F88" s="6"/>
      <c r="G88" s="6"/>
    </row>
    <row r="89" spans="4:7" x14ac:dyDescent="0.2">
      <c r="D89" s="28"/>
      <c r="E89" s="28"/>
      <c r="F89" s="6"/>
      <c r="G89" s="6"/>
    </row>
    <row r="90" spans="4:7" x14ac:dyDescent="0.2">
      <c r="D90" s="28"/>
      <c r="E90" s="28"/>
      <c r="F90" s="6"/>
      <c r="G90" s="6"/>
    </row>
    <row r="91" spans="4:7" x14ac:dyDescent="0.2">
      <c r="D91" s="28"/>
      <c r="E91" s="28"/>
      <c r="F91" s="6"/>
      <c r="G91" s="6"/>
    </row>
    <row r="92" spans="4:7" x14ac:dyDescent="0.2">
      <c r="D92" s="28"/>
      <c r="E92" s="28"/>
      <c r="F92" s="6"/>
      <c r="G92" s="6"/>
    </row>
    <row r="93" spans="4:7" x14ac:dyDescent="0.2">
      <c r="D93" s="28"/>
      <c r="E93" s="28"/>
      <c r="F93" s="6"/>
      <c r="G93" s="6"/>
    </row>
    <row r="94" spans="4:7" x14ac:dyDescent="0.2">
      <c r="D94" s="28"/>
      <c r="E94" s="28"/>
      <c r="F94" s="6"/>
      <c r="G94" s="6"/>
    </row>
    <row r="95" spans="4:7" x14ac:dyDescent="0.2">
      <c r="D95" s="28"/>
      <c r="E95" s="28"/>
      <c r="F95" s="6"/>
      <c r="G95" s="6"/>
    </row>
    <row r="96" spans="4:7" x14ac:dyDescent="0.2">
      <c r="D96" s="28"/>
      <c r="E96" s="28"/>
      <c r="F96" s="6"/>
      <c r="G96" s="6"/>
    </row>
    <row r="97" spans="1:7" x14ac:dyDescent="0.2">
      <c r="D97" s="28"/>
      <c r="E97" s="28"/>
      <c r="F97" s="6"/>
      <c r="G97" s="6"/>
    </row>
    <row r="99" spans="1:7" x14ac:dyDescent="0.2">
      <c r="A99" s="61"/>
    </row>
    <row r="120" ht="16.5" customHeight="1" x14ac:dyDescent="0.2"/>
    <row r="121" ht="16.5" customHeight="1" x14ac:dyDescent="0.2"/>
    <row r="122" ht="12" customHeight="1" x14ac:dyDescent="0.2"/>
    <row r="126" ht="27.75" customHeight="1" x14ac:dyDescent="0.2"/>
  </sheetData>
  <sheetProtection password="E1DD" sheet="1" objects="1" scenarios="1"/>
  <phoneticPr fontId="0" type="noConversion"/>
  <dataValidations disablePrompts="1" count="2">
    <dataValidation type="list" allowBlank="1" showInputMessage="1" showErrorMessage="1" sqref="A73:A76">
      <formula1>$A$73:$A$77</formula1>
    </dataValidation>
    <dataValidation type="decimal" allowBlank="1" showInputMessage="1" showErrorMessage="1" sqref="B20">
      <formula1>0.67</formula1>
      <formula2>0.85</formula2>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topLeftCell="A18" workbookViewId="0">
      <selection activeCell="B41" sqref="B41"/>
    </sheetView>
  </sheetViews>
  <sheetFormatPr defaultRowHeight="12.75" x14ac:dyDescent="0.2"/>
  <cols>
    <col min="1" max="1" width="53.7109375" bestFit="1" customWidth="1"/>
    <col min="3" max="3" width="84.5703125" bestFit="1" customWidth="1"/>
  </cols>
  <sheetData>
    <row r="1" spans="1:3" x14ac:dyDescent="0.2">
      <c r="A1" s="17" t="s">
        <v>94</v>
      </c>
      <c r="B1" s="6"/>
      <c r="C1" s="6"/>
    </row>
    <row r="2" spans="1:3" x14ac:dyDescent="0.2">
      <c r="A2" s="53"/>
      <c r="B2" s="53"/>
      <c r="C2" s="53"/>
    </row>
    <row r="3" spans="1:3" x14ac:dyDescent="0.2">
      <c r="A3" s="20" t="s">
        <v>234</v>
      </c>
      <c r="B3" s="3" t="s">
        <v>1</v>
      </c>
      <c r="C3" s="4"/>
    </row>
    <row r="4" spans="1:3" x14ac:dyDescent="0.2">
      <c r="A4" s="72" t="s">
        <v>272</v>
      </c>
      <c r="B4" s="6"/>
      <c r="C4" s="7"/>
    </row>
    <row r="5" spans="1:3" ht="15.75" x14ac:dyDescent="0.3">
      <c r="A5" s="5" t="s">
        <v>19</v>
      </c>
      <c r="B5" s="6">
        <f>Inputs!B20</f>
        <v>3.99</v>
      </c>
      <c r="C5" s="7" t="s">
        <v>111</v>
      </c>
    </row>
    <row r="6" spans="1:3" x14ac:dyDescent="0.2">
      <c r="A6" s="5" t="s">
        <v>95</v>
      </c>
      <c r="B6" s="6">
        <f>Inputs!B22</f>
        <v>10.07</v>
      </c>
      <c r="C6" s="7" t="s">
        <v>110</v>
      </c>
    </row>
    <row r="7" spans="1:3" ht="15.75" x14ac:dyDescent="0.3">
      <c r="A7" s="5" t="s">
        <v>103</v>
      </c>
      <c r="B7" s="6">
        <f>Inputs!B19</f>
        <v>3.99</v>
      </c>
      <c r="C7" s="7" t="s">
        <v>112</v>
      </c>
    </row>
    <row r="8" spans="1:3" ht="15.75" x14ac:dyDescent="0.3">
      <c r="A8" s="5" t="s">
        <v>22</v>
      </c>
      <c r="B8" s="6">
        <f>Inputs!B23</f>
        <v>1.5900000000000001E-2</v>
      </c>
      <c r="C8" s="7" t="s">
        <v>98</v>
      </c>
    </row>
    <row r="9" spans="1:3" x14ac:dyDescent="0.2">
      <c r="A9" s="5" t="s">
        <v>96</v>
      </c>
      <c r="B9" s="6">
        <f>Inputs!B18</f>
        <v>119.72</v>
      </c>
      <c r="C9" s="7" t="s">
        <v>113</v>
      </c>
    </row>
    <row r="10" spans="1:3" ht="15.75" x14ac:dyDescent="0.3">
      <c r="A10" s="5" t="s">
        <v>104</v>
      </c>
      <c r="B10" s="6">
        <f>Inputs!B32</f>
        <v>250</v>
      </c>
      <c r="C10" s="7" t="s">
        <v>158</v>
      </c>
    </row>
    <row r="11" spans="1:3" ht="14.25" x14ac:dyDescent="0.2">
      <c r="A11" s="5" t="s">
        <v>374</v>
      </c>
      <c r="B11" s="6">
        <f>B9/(4*B10)</f>
        <v>0.11971999999999999</v>
      </c>
      <c r="C11" s="7" t="s">
        <v>105</v>
      </c>
    </row>
    <row r="12" spans="1:3" ht="15.75" x14ac:dyDescent="0.3">
      <c r="A12" s="5" t="s">
        <v>269</v>
      </c>
      <c r="B12" s="25">
        <f>((0.0685 * B5 * B6^0.8) / (B7^0.4 * B8^0.3)) * (2.1 * B11^0.2 -1)</f>
        <v>1.2902013856969661</v>
      </c>
      <c r="C12" s="7" t="s">
        <v>267</v>
      </c>
    </row>
    <row r="13" spans="1:3" ht="14.25" x14ac:dyDescent="0.25">
      <c r="A13" s="88" t="s">
        <v>321</v>
      </c>
      <c r="B13" s="110">
        <f>MAX(0, B12)</f>
        <v>1.2902013856969661</v>
      </c>
      <c r="C13" s="7" t="s">
        <v>268</v>
      </c>
    </row>
    <row r="14" spans="1:3" x14ac:dyDescent="0.2">
      <c r="A14" s="5" t="s">
        <v>99</v>
      </c>
      <c r="B14" s="6">
        <f>Inputs!B15</f>
        <v>2.5000000000000001E-2</v>
      </c>
      <c r="C14" s="27" t="s">
        <v>305</v>
      </c>
    </row>
    <row r="15" spans="1:3" x14ac:dyDescent="0.2">
      <c r="A15" s="5" t="s">
        <v>106</v>
      </c>
      <c r="B15" s="6">
        <f>Inputs!B8</f>
        <v>2.13</v>
      </c>
      <c r="C15" s="27" t="s">
        <v>222</v>
      </c>
    </row>
    <row r="16" spans="1:3" x14ac:dyDescent="0.2">
      <c r="A16" s="5" t="s">
        <v>100</v>
      </c>
      <c r="B16" s="6">
        <f>(1.486/B14) * B15^(1/6)</f>
        <v>67.423102777357911</v>
      </c>
      <c r="C16" s="27"/>
    </row>
    <row r="17" spans="1:3" x14ac:dyDescent="0.2">
      <c r="A17" s="5" t="s">
        <v>330</v>
      </c>
      <c r="B17" s="6">
        <f>Inputs!B6</f>
        <v>119.72</v>
      </c>
      <c r="C17" s="27" t="s">
        <v>331</v>
      </c>
    </row>
    <row r="18" spans="1:3" ht="28.5" x14ac:dyDescent="0.2">
      <c r="A18" s="5" t="s">
        <v>101</v>
      </c>
      <c r="B18" s="6">
        <f>B6^2 * B9 /(32.17 * B10)</f>
        <v>1.509505082747902</v>
      </c>
      <c r="C18" s="8" t="s">
        <v>114</v>
      </c>
    </row>
    <row r="19" spans="1:3" x14ac:dyDescent="0.2">
      <c r="A19" s="5" t="s">
        <v>307</v>
      </c>
      <c r="B19" s="6">
        <f>Inputs!B9</f>
        <v>3.99</v>
      </c>
      <c r="C19" s="27" t="s">
        <v>222</v>
      </c>
    </row>
    <row r="20" spans="1:3" x14ac:dyDescent="0.2">
      <c r="A20" s="18" t="s">
        <v>102</v>
      </c>
      <c r="B20" s="25">
        <f>B18+B19</f>
        <v>5.499505082747902</v>
      </c>
      <c r="C20" s="27" t="s">
        <v>115</v>
      </c>
    </row>
    <row r="21" spans="1:3" ht="27" x14ac:dyDescent="0.2">
      <c r="A21" s="9" t="s">
        <v>97</v>
      </c>
      <c r="B21" s="111">
        <f>2.3 * B16 / 32.17^0.5 * B20</f>
        <v>150.36080701606096</v>
      </c>
      <c r="C21" s="23" t="s">
        <v>404</v>
      </c>
    </row>
    <row r="23" spans="1:3" x14ac:dyDescent="0.2">
      <c r="A23" s="20" t="s">
        <v>143</v>
      </c>
      <c r="B23" s="3" t="s">
        <v>1</v>
      </c>
      <c r="C23" s="4" t="s">
        <v>147</v>
      </c>
    </row>
    <row r="24" spans="1:3" x14ac:dyDescent="0.2">
      <c r="A24" s="72" t="s">
        <v>254</v>
      </c>
      <c r="C24" s="7" t="s">
        <v>69</v>
      </c>
    </row>
    <row r="25" spans="1:3" ht="15.75" x14ac:dyDescent="0.3">
      <c r="A25" s="5" t="s">
        <v>126</v>
      </c>
      <c r="B25" s="6">
        <f>Inputs!B19</f>
        <v>3.99</v>
      </c>
      <c r="C25" s="7" t="s">
        <v>141</v>
      </c>
    </row>
    <row r="26" spans="1:3" ht="15.75" x14ac:dyDescent="0.3">
      <c r="A26" s="5" t="s">
        <v>104</v>
      </c>
      <c r="B26" s="6">
        <f>Inputs!B32</f>
        <v>250</v>
      </c>
      <c r="C26" s="7" t="s">
        <v>142</v>
      </c>
    </row>
    <row r="27" spans="1:3" ht="15.75" x14ac:dyDescent="0.3">
      <c r="A27" s="58" t="s">
        <v>127</v>
      </c>
      <c r="B27" s="6">
        <f>Inputs!B21</f>
        <v>177</v>
      </c>
      <c r="C27" s="7" t="s">
        <v>146</v>
      </c>
    </row>
    <row r="28" spans="1:3" ht="15.75" x14ac:dyDescent="0.3">
      <c r="A28" s="58" t="s">
        <v>152</v>
      </c>
      <c r="B28" s="6">
        <f>B26/B27</f>
        <v>1.4124293785310735</v>
      </c>
      <c r="C28" s="7" t="s">
        <v>348</v>
      </c>
    </row>
    <row r="29" spans="1:3" ht="15.75" x14ac:dyDescent="0.3">
      <c r="A29" s="58" t="s">
        <v>154</v>
      </c>
      <c r="B29" s="6">
        <f>MAX(B28, 1.5)</f>
        <v>1.5</v>
      </c>
      <c r="C29" s="7" t="s">
        <v>320</v>
      </c>
    </row>
    <row r="30" spans="1:3" ht="15.75" x14ac:dyDescent="0.3">
      <c r="A30" s="58" t="s">
        <v>144</v>
      </c>
      <c r="B30" s="28" t="b">
        <f>IF(B28&lt;10, TRUE, FALSE)</f>
        <v>1</v>
      </c>
      <c r="C30" s="7"/>
    </row>
    <row r="31" spans="1:3" ht="15.75" x14ac:dyDescent="0.3">
      <c r="A31" s="58" t="s">
        <v>153</v>
      </c>
      <c r="B31" s="28">
        <f>B27/B25</f>
        <v>44.360902255639097</v>
      </c>
      <c r="C31" s="7" t="s">
        <v>349</v>
      </c>
    </row>
    <row r="32" spans="1:3" ht="15.75" x14ac:dyDescent="0.3">
      <c r="A32" s="58" t="s">
        <v>155</v>
      </c>
      <c r="B32" s="28">
        <f>MAX(B31, 20)</f>
        <v>44.360902255639097</v>
      </c>
      <c r="C32" s="7" t="s">
        <v>320</v>
      </c>
    </row>
    <row r="33" spans="1:3" ht="15.75" x14ac:dyDescent="0.3">
      <c r="A33" s="58" t="s">
        <v>145</v>
      </c>
      <c r="B33" s="28" t="b">
        <f>IF(B31&lt; 125, TRUE, FALSE)</f>
        <v>1</v>
      </c>
      <c r="C33" s="7"/>
    </row>
    <row r="34" spans="1:3" ht="15.75" x14ac:dyDescent="0.3">
      <c r="A34" s="5" t="s">
        <v>125</v>
      </c>
      <c r="B34" s="6">
        <f>B25*(1.8-0.051*B29+0.0084*B32)</f>
        <v>8.3635650000000012</v>
      </c>
      <c r="C34" s="27" t="s">
        <v>434</v>
      </c>
    </row>
    <row r="35" spans="1:3" ht="15.75" x14ac:dyDescent="0.3">
      <c r="A35" s="60" t="s">
        <v>321</v>
      </c>
      <c r="B35" s="108">
        <f>B34 - B25</f>
        <v>4.373565000000001</v>
      </c>
      <c r="C35" s="48" t="s">
        <v>427</v>
      </c>
    </row>
    <row r="36" spans="1:3" x14ac:dyDescent="0.2">
      <c r="A36" s="14"/>
      <c r="B36" s="17"/>
      <c r="C36" s="6"/>
    </row>
    <row r="37" spans="1:3" x14ac:dyDescent="0.2">
      <c r="A37" s="51" t="s">
        <v>253</v>
      </c>
      <c r="B37" s="49" t="s">
        <v>1</v>
      </c>
      <c r="C37" s="4"/>
    </row>
    <row r="38" spans="1:3" x14ac:dyDescent="0.2">
      <c r="A38" s="82" t="s">
        <v>378</v>
      </c>
      <c r="B38" s="17"/>
      <c r="C38" s="7"/>
    </row>
    <row r="39" spans="1:3" ht="15.75" x14ac:dyDescent="0.3">
      <c r="A39" s="58" t="s">
        <v>126</v>
      </c>
      <c r="B39" s="25">
        <f>Inputs!B19</f>
        <v>3.99</v>
      </c>
      <c r="C39" s="7" t="s">
        <v>141</v>
      </c>
    </row>
    <row r="40" spans="1:3" ht="15.75" x14ac:dyDescent="0.3">
      <c r="A40" s="58" t="s">
        <v>104</v>
      </c>
      <c r="B40" s="25">
        <f>Inputs!B32</f>
        <v>250</v>
      </c>
      <c r="C40" s="7" t="s">
        <v>142</v>
      </c>
    </row>
    <row r="41" spans="1:3" ht="15.75" x14ac:dyDescent="0.3">
      <c r="A41" s="58" t="s">
        <v>127</v>
      </c>
      <c r="B41" s="25">
        <f>Inputs!B18</f>
        <v>119.72</v>
      </c>
      <c r="C41" s="7" t="s">
        <v>255</v>
      </c>
    </row>
    <row r="42" spans="1:3" ht="15.75" x14ac:dyDescent="0.3">
      <c r="A42" s="58" t="s">
        <v>257</v>
      </c>
      <c r="B42" s="25">
        <f>2.07-0.19*LOG10(B40/B41-2)</f>
        <v>2.2703555300943683</v>
      </c>
      <c r="C42" s="71" t="s">
        <v>260</v>
      </c>
    </row>
    <row r="43" spans="1:3" ht="15.75" x14ac:dyDescent="0.3">
      <c r="A43" s="58" t="s">
        <v>19</v>
      </c>
      <c r="B43">
        <f>B42 * B39</f>
        <v>9.0587185650765303</v>
      </c>
      <c r="C43" s="71" t="s">
        <v>261</v>
      </c>
    </row>
    <row r="44" spans="1:3" ht="15.75" x14ac:dyDescent="0.3">
      <c r="A44" s="58" t="s">
        <v>258</v>
      </c>
      <c r="B44" s="25">
        <f>B40 / B41</f>
        <v>2.088205813564985</v>
      </c>
      <c r="C44" s="7" t="s">
        <v>320</v>
      </c>
    </row>
    <row r="45" spans="1:3" ht="15.75" x14ac:dyDescent="0.3">
      <c r="A45" s="58" t="s">
        <v>144</v>
      </c>
      <c r="B45" s="25" t="b">
        <f>B44 &gt; 2</f>
        <v>1</v>
      </c>
      <c r="C45" s="7" t="s">
        <v>347</v>
      </c>
    </row>
    <row r="46" spans="1:3" ht="15.75" x14ac:dyDescent="0.3">
      <c r="A46" s="59" t="s">
        <v>256</v>
      </c>
      <c r="B46" s="108">
        <f>B43 - B39</f>
        <v>5.0687185650765301</v>
      </c>
      <c r="C46" s="48" t="s">
        <v>259</v>
      </c>
    </row>
    <row r="47" spans="1:3" x14ac:dyDescent="0.2">
      <c r="A47" s="14"/>
      <c r="B47" s="17"/>
      <c r="C47" s="6"/>
    </row>
    <row r="48" spans="1:3" x14ac:dyDescent="0.2">
      <c r="A48" s="6"/>
      <c r="B48" s="6"/>
      <c r="C48" s="55"/>
    </row>
    <row r="49" spans="1:3" x14ac:dyDescent="0.2">
      <c r="A49" s="52" t="s">
        <v>167</v>
      </c>
      <c r="B49" s="3" t="s">
        <v>1</v>
      </c>
      <c r="C49" s="4"/>
    </row>
    <row r="50" spans="1:3" x14ac:dyDescent="0.2">
      <c r="A50" s="84" t="s">
        <v>400</v>
      </c>
      <c r="B50" s="6"/>
      <c r="C50" s="7"/>
    </row>
    <row r="51" spans="1:3" ht="15.75" x14ac:dyDescent="0.3">
      <c r="A51" s="58" t="s">
        <v>164</v>
      </c>
      <c r="B51" s="6">
        <f>Inputs!B32</f>
        <v>250</v>
      </c>
      <c r="C51" s="7" t="s">
        <v>232</v>
      </c>
    </row>
    <row r="52" spans="1:3" x14ac:dyDescent="0.2">
      <c r="A52" s="58" t="s">
        <v>96</v>
      </c>
      <c r="B52" s="6">
        <f>Inputs!B6</f>
        <v>119.72</v>
      </c>
      <c r="C52" s="7" t="s">
        <v>231</v>
      </c>
    </row>
    <row r="53" spans="1:3" ht="15.75" x14ac:dyDescent="0.3">
      <c r="A53" s="58" t="s">
        <v>165</v>
      </c>
      <c r="B53" s="6">
        <f>B51/B52</f>
        <v>2.088205813564985</v>
      </c>
      <c r="C53" s="7" t="s">
        <v>159</v>
      </c>
    </row>
    <row r="54" spans="1:3" x14ac:dyDescent="0.2">
      <c r="A54" s="58" t="s">
        <v>327</v>
      </c>
      <c r="B54" s="6">
        <f>Inputs!B19</f>
        <v>3.99</v>
      </c>
      <c r="C54" s="7" t="s">
        <v>222</v>
      </c>
    </row>
    <row r="55" spans="1:3" x14ac:dyDescent="0.2">
      <c r="A55" s="58" t="s">
        <v>325</v>
      </c>
      <c r="B55" s="6">
        <f>Inputs!B9</f>
        <v>3.99</v>
      </c>
      <c r="C55" s="7" t="s">
        <v>33</v>
      </c>
    </row>
    <row r="56" spans="1:3" x14ac:dyDescent="0.2">
      <c r="A56" s="62" t="s">
        <v>328</v>
      </c>
      <c r="B56">
        <f>-1.51*LOG10(B53) + 3.37</f>
        <v>2.8871423162391356</v>
      </c>
      <c r="C56" s="7" t="s">
        <v>160</v>
      </c>
    </row>
    <row r="57" spans="1:3" ht="25.5" x14ac:dyDescent="0.2">
      <c r="A57" s="62" t="s">
        <v>329</v>
      </c>
      <c r="B57" s="25">
        <f>-1.62703*LOG10(B53) + 3.375</f>
        <v>2.854719246881166</v>
      </c>
      <c r="C57" s="7" t="s">
        <v>161</v>
      </c>
    </row>
    <row r="58" spans="1:3" x14ac:dyDescent="0.2">
      <c r="A58" s="58" t="s">
        <v>162</v>
      </c>
      <c r="B58" s="110">
        <f>B56 * B$54 - B$55</f>
        <v>7.5296978417941514</v>
      </c>
      <c r="C58" s="27" t="s">
        <v>428</v>
      </c>
    </row>
    <row r="59" spans="1:3" ht="25.5" customHeight="1" x14ac:dyDescent="0.2">
      <c r="A59" s="59" t="s">
        <v>163</v>
      </c>
      <c r="B59" s="108">
        <f>B57 * B$54 - B$55</f>
        <v>7.4003297950558533</v>
      </c>
      <c r="C59" s="27" t="s">
        <v>428</v>
      </c>
    </row>
    <row r="60" spans="1:3" x14ac:dyDescent="0.2">
      <c r="A60" s="1"/>
    </row>
  </sheetData>
  <sheetProtection password="E1DD" sheet="1" objects="1" scenarios="1"/>
  <phoneticPr fontId="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workbookViewId="0">
      <selection activeCell="B9" sqref="B9"/>
    </sheetView>
  </sheetViews>
  <sheetFormatPr defaultRowHeight="12.75" x14ac:dyDescent="0.2"/>
  <cols>
    <col min="1" max="1" width="32.140625" bestFit="1" customWidth="1"/>
    <col min="2" max="2" width="12" bestFit="1" customWidth="1"/>
    <col min="3" max="3" width="74.28515625" bestFit="1" customWidth="1"/>
  </cols>
  <sheetData>
    <row r="1" spans="1:3" x14ac:dyDescent="0.2">
      <c r="A1" s="38" t="s">
        <v>176</v>
      </c>
    </row>
    <row r="3" spans="1:3" x14ac:dyDescent="0.2">
      <c r="A3" s="20" t="s">
        <v>172</v>
      </c>
      <c r="B3" s="66" t="s">
        <v>1</v>
      </c>
      <c r="C3" s="4" t="s">
        <v>69</v>
      </c>
    </row>
    <row r="4" spans="1:3" x14ac:dyDescent="0.2">
      <c r="A4" s="72" t="s">
        <v>233</v>
      </c>
      <c r="B4" s="28"/>
      <c r="C4" s="7"/>
    </row>
    <row r="5" spans="1:3" ht="15.75" x14ac:dyDescent="0.3">
      <c r="A5" s="5" t="s">
        <v>224</v>
      </c>
      <c r="B5" s="6">
        <v>1.74E-3</v>
      </c>
      <c r="C5" s="7" t="s">
        <v>225</v>
      </c>
    </row>
    <row r="6" spans="1:3" x14ac:dyDescent="0.2">
      <c r="A6" s="5" t="s">
        <v>177</v>
      </c>
      <c r="B6" s="6">
        <f>Inputs!B29</f>
        <v>0.43</v>
      </c>
      <c r="C6" s="7" t="s">
        <v>230</v>
      </c>
    </row>
    <row r="7" spans="1:3" ht="15.75" x14ac:dyDescent="0.3">
      <c r="A7" s="5" t="s">
        <v>226</v>
      </c>
      <c r="B7" s="6">
        <f>Inputs!B13</f>
        <v>177.22</v>
      </c>
      <c r="C7" s="7" t="s">
        <v>227</v>
      </c>
    </row>
    <row r="8" spans="1:3" x14ac:dyDescent="0.2">
      <c r="A8" s="5" t="s">
        <v>12</v>
      </c>
      <c r="B8" s="6">
        <f>Inputs!B12</f>
        <v>8620</v>
      </c>
      <c r="C8" s="7" t="s">
        <v>229</v>
      </c>
    </row>
    <row r="9" spans="1:3" ht="15.75" x14ac:dyDescent="0.3">
      <c r="A9" s="47" t="s">
        <v>197</v>
      </c>
      <c r="B9" s="10">
        <f>B5 * (B6 * B7 / B8)^0.75</f>
        <v>5.0165447390077884E-5</v>
      </c>
      <c r="C9" s="65" t="s">
        <v>355</v>
      </c>
    </row>
    <row r="10" spans="1:3" x14ac:dyDescent="0.2">
      <c r="A10" s="6"/>
      <c r="B10" s="6"/>
      <c r="C10" s="6"/>
    </row>
    <row r="11" spans="1:3" x14ac:dyDescent="0.2">
      <c r="A11" s="6"/>
      <c r="B11" s="6"/>
      <c r="C11" s="6"/>
    </row>
    <row r="12" spans="1:3" x14ac:dyDescent="0.2">
      <c r="A12" s="20" t="s">
        <v>173</v>
      </c>
      <c r="B12" s="66" t="s">
        <v>1</v>
      </c>
      <c r="C12" s="4" t="s">
        <v>69</v>
      </c>
    </row>
    <row r="13" spans="1:3" ht="15.75" x14ac:dyDescent="0.3">
      <c r="A13" s="72" t="s">
        <v>233</v>
      </c>
      <c r="B13" s="28"/>
      <c r="C13" s="89" t="s">
        <v>309</v>
      </c>
    </row>
    <row r="14" spans="1:3" ht="15.75" x14ac:dyDescent="0.3">
      <c r="A14" s="58" t="s">
        <v>191</v>
      </c>
      <c r="B14" s="6">
        <v>0.19</v>
      </c>
      <c r="C14" s="7" t="s">
        <v>195</v>
      </c>
    </row>
    <row r="15" spans="1:3" ht="15.75" x14ac:dyDescent="0.3">
      <c r="A15" s="58" t="s">
        <v>192</v>
      </c>
      <c r="B15" s="6">
        <f>Inputs!B15</f>
        <v>2.5000000000000001E-2</v>
      </c>
      <c r="C15" s="7" t="s">
        <v>194</v>
      </c>
    </row>
    <row r="16" spans="1:3" x14ac:dyDescent="0.2">
      <c r="A16" s="58" t="s">
        <v>196</v>
      </c>
      <c r="B16" s="6">
        <f>Inputs!B11</f>
        <v>5.94</v>
      </c>
      <c r="C16" s="7" t="s">
        <v>435</v>
      </c>
    </row>
    <row r="17" spans="1:3" ht="15.75" x14ac:dyDescent="0.3">
      <c r="A17" s="58" t="s">
        <v>187</v>
      </c>
      <c r="B17" s="6">
        <f>Inputs!B30</f>
        <v>1.29</v>
      </c>
      <c r="C17" s="7" t="s">
        <v>193</v>
      </c>
    </row>
    <row r="18" spans="1:3" ht="15.75" x14ac:dyDescent="0.3">
      <c r="A18" s="58" t="s">
        <v>177</v>
      </c>
      <c r="B18" s="6">
        <f>Inputs!B29</f>
        <v>0.43</v>
      </c>
      <c r="C18" s="7" t="s">
        <v>293</v>
      </c>
    </row>
    <row r="19" spans="1:3" ht="15.75" x14ac:dyDescent="0.3">
      <c r="A19" s="59" t="s">
        <v>197</v>
      </c>
      <c r="B19" s="10">
        <f>B14*(1)*(B15/B17^(1/6))^1.5 * B18 / B16</f>
        <v>5.1015035944262004E-5</v>
      </c>
      <c r="C19" s="65" t="s">
        <v>342</v>
      </c>
    </row>
    <row r="21" spans="1:3" x14ac:dyDescent="0.2">
      <c r="A21" s="20" t="s">
        <v>174</v>
      </c>
      <c r="B21" s="66" t="s">
        <v>1</v>
      </c>
      <c r="C21" s="4" t="s">
        <v>69</v>
      </c>
    </row>
    <row r="22" spans="1:3" x14ac:dyDescent="0.2">
      <c r="A22" s="72" t="s">
        <v>233</v>
      </c>
      <c r="B22" s="28"/>
      <c r="C22" s="7"/>
    </row>
    <row r="23" spans="1:3" ht="15.75" x14ac:dyDescent="0.3">
      <c r="A23" s="5" t="s">
        <v>184</v>
      </c>
      <c r="B23" s="6">
        <f>Inputs!B29</f>
        <v>0.43</v>
      </c>
      <c r="C23" s="7" t="s">
        <v>295</v>
      </c>
    </row>
    <row r="24" spans="1:3" x14ac:dyDescent="0.2">
      <c r="A24" s="5" t="s">
        <v>185</v>
      </c>
      <c r="B24" s="42">
        <f>10^PERCENTILE(LanesTractiveForceTable!$I$2:$I$32, PERCENTRANK(LanesTractiveForceTable!$H$2:$H$32,LOG10(B23), 10))</f>
        <v>2.8970648758529272E-2</v>
      </c>
      <c r="C24" s="7" t="s">
        <v>340</v>
      </c>
    </row>
    <row r="25" spans="1:3" x14ac:dyDescent="0.2">
      <c r="A25" s="5" t="s">
        <v>343</v>
      </c>
      <c r="B25" s="42">
        <f>Inputs!B11</f>
        <v>5.94</v>
      </c>
      <c r="C25" s="7" t="s">
        <v>341</v>
      </c>
    </row>
    <row r="26" spans="1:3" x14ac:dyDescent="0.2">
      <c r="A26" s="47" t="s">
        <v>186</v>
      </c>
      <c r="B26" s="10">
        <f>B24 / (62.4 *B25)</f>
        <v>7.8160474290256385E-5</v>
      </c>
      <c r="C26" s="65" t="s">
        <v>344</v>
      </c>
    </row>
    <row r="28" spans="1:3" x14ac:dyDescent="0.2">
      <c r="A28" s="20" t="s">
        <v>175</v>
      </c>
      <c r="B28" s="3"/>
      <c r="C28" s="4" t="s">
        <v>69</v>
      </c>
    </row>
    <row r="29" spans="1:3" x14ac:dyDescent="0.2">
      <c r="A29" s="72" t="s">
        <v>233</v>
      </c>
      <c r="B29" s="6"/>
      <c r="C29" s="7"/>
    </row>
    <row r="30" spans="1:3" x14ac:dyDescent="0.2">
      <c r="A30" s="5" t="s">
        <v>210</v>
      </c>
      <c r="B30" s="6">
        <f>Inputs!$B$11</f>
        <v>5.94</v>
      </c>
      <c r="C30" s="7" t="s">
        <v>455</v>
      </c>
    </row>
    <row r="31" spans="1:3" x14ac:dyDescent="0.2">
      <c r="A31" s="5" t="s">
        <v>311</v>
      </c>
      <c r="B31" s="6">
        <f>Inputs!B29</f>
        <v>0.43</v>
      </c>
      <c r="C31" s="7"/>
    </row>
    <row r="32" spans="1:3" ht="15.75" x14ac:dyDescent="0.3">
      <c r="A32" s="5" t="s">
        <v>273</v>
      </c>
      <c r="B32" s="6">
        <f>B31/304.8</f>
        <v>1.410761154855643E-3</v>
      </c>
      <c r="C32" s="7" t="s">
        <v>211</v>
      </c>
    </row>
    <row r="33" spans="1:3" x14ac:dyDescent="0.2">
      <c r="A33" s="5" t="s">
        <v>216</v>
      </c>
      <c r="B33" s="6">
        <f>Inputs!B25</f>
        <v>70</v>
      </c>
      <c r="C33" s="7" t="s">
        <v>308</v>
      </c>
    </row>
    <row r="34" spans="1:3" ht="14.25" x14ac:dyDescent="0.2">
      <c r="A34" s="97" t="s">
        <v>346</v>
      </c>
      <c r="B34" s="42">
        <f>PERCENTILE(WaterProperties!$C$2:$C$9,1-PERCENTRANK(WaterProperties!$A$2:$A$9,B33,10))</f>
        <v>1.0590000000632E-5</v>
      </c>
      <c r="C34" s="7" t="s">
        <v>312</v>
      </c>
    </row>
    <row r="35" spans="1:3" x14ac:dyDescent="0.2">
      <c r="A35" s="5" t="s">
        <v>209</v>
      </c>
      <c r="B35" s="6">
        <v>1E-4</v>
      </c>
      <c r="C35" s="7" t="s">
        <v>337</v>
      </c>
    </row>
    <row r="36" spans="1:3" ht="15.75" x14ac:dyDescent="0.3">
      <c r="A36" s="5" t="s">
        <v>352</v>
      </c>
      <c r="B36" s="6">
        <f>SQRT(B35 * $B$30 * 32.17)</f>
        <v>0.13823523429285314</v>
      </c>
      <c r="C36" s="71" t="s">
        <v>381</v>
      </c>
    </row>
    <row r="37" spans="1:3" ht="15.75" x14ac:dyDescent="0.3">
      <c r="A37" s="5" t="s">
        <v>353</v>
      </c>
      <c r="B37" s="6">
        <f>B36 * $B$32 / $B$34</f>
        <v>18.415193461859065</v>
      </c>
      <c r="C37" s="71" t="s">
        <v>357</v>
      </c>
    </row>
    <row r="38" spans="1:3" ht="15.75" x14ac:dyDescent="0.3">
      <c r="A38" s="5" t="s">
        <v>354</v>
      </c>
      <c r="B38" s="6">
        <f>LOG10(B37)</f>
        <v>1.265176285720202</v>
      </c>
      <c r="C38" s="7" t="s">
        <v>219</v>
      </c>
    </row>
    <row r="39" spans="1:3" ht="15.75" x14ac:dyDescent="0.3">
      <c r="A39" s="97" t="s">
        <v>351</v>
      </c>
      <c r="B39" s="6">
        <f>10^IF(B38 &lt;=1.03855586623,PERCENTILE(ShieldsChart!$E$2:$E$20, 1-PERCENTRANK(ShieldsChart!$D$2:$D$20, B38, 10)), PERCENTILE(ShieldsChart!$E$20:$E$47, PERCENTRANK(ShieldsChart!$D$20:$D$47, B38, 10)))</f>
        <v>3.2506643739771218E-2</v>
      </c>
      <c r="C39" s="7" t="s">
        <v>218</v>
      </c>
    </row>
    <row r="40" spans="1:3" ht="15.75" x14ac:dyDescent="0.3">
      <c r="A40" s="97" t="s">
        <v>345</v>
      </c>
      <c r="B40" s="6">
        <f>B39 * (165-62.4) * B32</f>
        <v>4.7051447129633417E-3</v>
      </c>
      <c r="C40" s="71" t="s">
        <v>358</v>
      </c>
    </row>
    <row r="41" spans="1:3" ht="15.75" x14ac:dyDescent="0.3">
      <c r="A41" s="5" t="s">
        <v>220</v>
      </c>
      <c r="B41" s="6">
        <f>B40 / (62.4 *$B$30)</f>
        <v>1.2694101034283383E-5</v>
      </c>
      <c r="C41" s="71" t="s">
        <v>369</v>
      </c>
    </row>
    <row r="42" spans="1:3" ht="15.75" x14ac:dyDescent="0.3">
      <c r="A42" s="5" t="s">
        <v>352</v>
      </c>
      <c r="B42" s="6">
        <f>SQRT(B41 * $B$30 * 32.17)</f>
        <v>4.925153020791339E-2</v>
      </c>
      <c r="C42" s="117" t="s">
        <v>370</v>
      </c>
    </row>
    <row r="43" spans="1:3" ht="15.75" x14ac:dyDescent="0.3">
      <c r="A43" s="5" t="s">
        <v>353</v>
      </c>
      <c r="B43" s="6">
        <f>B42 * $B$32 / $B$34</f>
        <v>6.5611091246814786</v>
      </c>
      <c r="C43" s="117"/>
    </row>
    <row r="44" spans="1:3" ht="15.75" x14ac:dyDescent="0.3">
      <c r="A44" s="5" t="s">
        <v>354</v>
      </c>
      <c r="B44" s="6">
        <f>LOG10(B43)</f>
        <v>0.81697726102401014</v>
      </c>
      <c r="C44" s="117"/>
    </row>
    <row r="45" spans="1:3" ht="15.75" x14ac:dyDescent="0.3">
      <c r="A45" s="97" t="s">
        <v>351</v>
      </c>
      <c r="B45" s="6">
        <f>10^IF(B44 &lt;=1.03855586623,PERCENTILE(ShieldsChart!$E$2:$E$20, 1-PERCENTRANK(ShieldsChart!$D$2:$D$20, B44, 10)), PERCENTILE(ShieldsChart!$E$20:$E$47, PERCENTRANK(ShieldsChart!$D$20:$D$47, B44, 10)))</f>
        <v>3.3027345345794761E-2</v>
      </c>
      <c r="C45" s="117"/>
    </row>
    <row r="46" spans="1:3" x14ac:dyDescent="0.2">
      <c r="A46" s="97" t="s">
        <v>345</v>
      </c>
      <c r="B46" s="6">
        <f>B45 * (165-62.4) * B$32</f>
        <v>4.7805131954257642E-3</v>
      </c>
      <c r="C46" s="117"/>
    </row>
    <row r="47" spans="1:3" x14ac:dyDescent="0.2">
      <c r="A47" s="5" t="s">
        <v>220</v>
      </c>
      <c r="B47" s="6">
        <f>B46 / (62.4 *$B$30)</f>
        <v>1.2897439122598215E-5</v>
      </c>
      <c r="C47" s="117"/>
    </row>
    <row r="48" spans="1:3" ht="15.75" x14ac:dyDescent="0.3">
      <c r="A48" s="5" t="s">
        <v>352</v>
      </c>
      <c r="B48" s="6">
        <f>SQRT(B47 * $B$30 * 32.17)</f>
        <v>4.9644426297918563E-2</v>
      </c>
      <c r="C48" s="117" t="s">
        <v>371</v>
      </c>
    </row>
    <row r="49" spans="1:3" ht="15.75" x14ac:dyDescent="0.3">
      <c r="A49" s="5" t="s">
        <v>353</v>
      </c>
      <c r="B49" s="6">
        <f>B48 * $B$32 / $B$34</f>
        <v>6.613449308028116</v>
      </c>
      <c r="C49" s="117"/>
    </row>
    <row r="50" spans="1:3" ht="15.75" x14ac:dyDescent="0.3">
      <c r="A50" s="5" t="s">
        <v>354</v>
      </c>
      <c r="B50" s="6">
        <f>LOG10(B49)</f>
        <v>0.82042802903524503</v>
      </c>
      <c r="C50" s="117"/>
    </row>
    <row r="51" spans="1:3" ht="15.75" x14ac:dyDescent="0.3">
      <c r="A51" s="97" t="s">
        <v>351</v>
      </c>
      <c r="B51" s="6">
        <f>10^IF(B50 &lt;=1.03855586623,PERCENTILE(ShieldsChart!$E$2:$E$20, 1-PERCENTRANK(ShieldsChart!$D$2:$D$20, B50, 10)), PERCENTILE(ShieldsChart!$E$20:$E$47, PERCENTRANK(ShieldsChart!$D$20:$D$47, B50, 10)))</f>
        <v>3.2956146289246285E-2</v>
      </c>
      <c r="C51" s="117"/>
    </row>
    <row r="52" spans="1:3" x14ac:dyDescent="0.2">
      <c r="A52" s="97" t="s">
        <v>345</v>
      </c>
      <c r="B52" s="6">
        <f>B51 * (165-62.4) * B$32</f>
        <v>4.7702075524572425E-3</v>
      </c>
      <c r="C52" s="117"/>
    </row>
    <row r="53" spans="1:3" x14ac:dyDescent="0.2">
      <c r="A53" s="5" t="s">
        <v>220</v>
      </c>
      <c r="B53" s="6">
        <f>B52 / (62.4 *$B$30)</f>
        <v>1.2869635328868931E-5</v>
      </c>
      <c r="C53" s="117"/>
    </row>
    <row r="54" spans="1:3" ht="15.75" x14ac:dyDescent="0.3">
      <c r="A54" s="5" t="s">
        <v>352</v>
      </c>
      <c r="B54" s="6">
        <f>SQRT(B53 * $B$30 * 32.17)</f>
        <v>4.9590886673526E-2</v>
      </c>
      <c r="C54" s="117" t="s">
        <v>372</v>
      </c>
    </row>
    <row r="55" spans="1:3" ht="15.75" x14ac:dyDescent="0.3">
      <c r="A55" s="5" t="s">
        <v>353</v>
      </c>
      <c r="B55" s="6">
        <f>B54 * $B$32 / $B$34</f>
        <v>6.606316954644349</v>
      </c>
      <c r="C55" s="117"/>
    </row>
    <row r="56" spans="1:3" ht="15.75" x14ac:dyDescent="0.3">
      <c r="A56" s="5" t="s">
        <v>354</v>
      </c>
      <c r="B56" s="6">
        <f>LOG10(B55)</f>
        <v>0.81995940622353192</v>
      </c>
      <c r="C56" s="117"/>
    </row>
    <row r="57" spans="1:3" ht="15.75" x14ac:dyDescent="0.3">
      <c r="A57" s="97" t="s">
        <v>351</v>
      </c>
      <c r="B57" s="6">
        <f>10^IF(B56 &lt;=1.03855586623,PERCENTILE(ShieldsChart!$E$2:$E$20, 1-PERCENTRANK(ShieldsChart!$D$2:$D$20, B56, 10)), PERCENTILE(ShieldsChart!$E$20:$E$47, PERCENTRANK(ShieldsChart!$D$20:$D$47, B56, 10)))</f>
        <v>3.2965806282844144E-2</v>
      </c>
      <c r="C57" s="117"/>
    </row>
    <row r="58" spans="1:3" x14ac:dyDescent="0.2">
      <c r="A58" s="97" t="s">
        <v>345</v>
      </c>
      <c r="B58" s="6">
        <f>B57 * (165-62.4) * B$32</f>
        <v>4.7716057794833259E-3</v>
      </c>
      <c r="C58" s="117"/>
    </row>
    <row r="59" spans="1:3" x14ac:dyDescent="0.2">
      <c r="A59" s="5" t="s">
        <v>220</v>
      </c>
      <c r="B59" s="6">
        <f>B58 / (62.4 *$B$30)</f>
        <v>1.2873407632638688E-5</v>
      </c>
      <c r="C59" s="117"/>
    </row>
    <row r="60" spans="1:3" ht="15.75" x14ac:dyDescent="0.3">
      <c r="A60" s="5" t="s">
        <v>352</v>
      </c>
      <c r="B60" s="6">
        <f>SQRT(B59 * $B$30 * 32.17)</f>
        <v>4.9598154097097211E-2</v>
      </c>
      <c r="C60" s="117" t="s">
        <v>373</v>
      </c>
    </row>
    <row r="61" spans="1:3" ht="15.75" x14ac:dyDescent="0.3">
      <c r="A61" s="5" t="s">
        <v>353</v>
      </c>
      <c r="B61" s="6">
        <f>B60 * $B$32 / $B$34</f>
        <v>6.6072850942920862</v>
      </c>
      <c r="C61" s="117"/>
    </row>
    <row r="62" spans="1:3" ht="15.75" x14ac:dyDescent="0.3">
      <c r="A62" s="5" t="s">
        <v>354</v>
      </c>
      <c r="B62" s="6">
        <f>LOG10(B61)</f>
        <v>0.82002304635828382</v>
      </c>
      <c r="C62" s="117"/>
    </row>
    <row r="63" spans="1:3" ht="15.75" x14ac:dyDescent="0.3">
      <c r="A63" s="97" t="s">
        <v>351</v>
      </c>
      <c r="B63" s="6">
        <f>10^IF(B62 &lt;=1.03855586623,PERCENTILE(ShieldsChart!$E$2:$E$20, 1-PERCENTRANK(ShieldsChart!$D$2:$D$20, B62, 10)), PERCENTILE(ShieldsChart!$E$20:$E$47, PERCENTRANK(ShieldsChart!$D$20:$D$47, B62, 10)))</f>
        <v>3.2964494266432533E-2</v>
      </c>
      <c r="C63" s="117"/>
    </row>
    <row r="64" spans="1:3" x14ac:dyDescent="0.2">
      <c r="A64" s="97" t="s">
        <v>345</v>
      </c>
      <c r="B64" s="6">
        <f>B63 * (165-62.4) * B$32</f>
        <v>4.7714158728558737E-3</v>
      </c>
      <c r="C64" s="117"/>
    </row>
    <row r="65" spans="1:3" x14ac:dyDescent="0.2">
      <c r="A65" s="5" t="s">
        <v>220</v>
      </c>
      <c r="B65" s="6">
        <f>B64 / (62.4 *$B$30)</f>
        <v>1.2872895279871022E-5</v>
      </c>
      <c r="C65" s="117"/>
    </row>
    <row r="66" spans="1:3" ht="19.5" x14ac:dyDescent="0.35">
      <c r="A66" s="5" t="s">
        <v>356</v>
      </c>
      <c r="B66" s="6">
        <f>SQRT(B65 * $B$30 * 32.17)</f>
        <v>4.9597167101070379E-2</v>
      </c>
      <c r="C66" s="117" t="s">
        <v>221</v>
      </c>
    </row>
    <row r="67" spans="1:3" ht="15.75" x14ac:dyDescent="0.3">
      <c r="A67" s="5" t="s">
        <v>353</v>
      </c>
      <c r="B67" s="6">
        <f>B66 * $B$32 / $B$34</f>
        <v>6.6071536102831567</v>
      </c>
      <c r="C67" s="117"/>
    </row>
    <row r="68" spans="1:3" ht="15.75" x14ac:dyDescent="0.3">
      <c r="A68" s="5" t="s">
        <v>354</v>
      </c>
      <c r="B68" s="6">
        <f>LOG10(B67)</f>
        <v>0.8200144038754944</v>
      </c>
      <c r="C68" s="117"/>
    </row>
    <row r="69" spans="1:3" ht="15.75" x14ac:dyDescent="0.3">
      <c r="A69" s="97" t="s">
        <v>351</v>
      </c>
      <c r="B69" s="6">
        <f>10^IF(B68 &lt;=1.03855586623,PERCENTILE(ShieldsChart!$E$2:$E$20, 1-PERCENTRANK(ShieldsChart!$D$2:$D$20, B68, 10)), PERCENTILE(ShieldsChart!$E$20:$E$47, PERCENTRANK(ShieldsChart!$D$20:$D$47, B68, 10)))</f>
        <v>3.296467243739172E-2</v>
      </c>
      <c r="C69" s="117"/>
    </row>
    <row r="70" spans="1:3" x14ac:dyDescent="0.2">
      <c r="A70" s="97" t="s">
        <v>345</v>
      </c>
      <c r="B70" s="6">
        <f>B69 * (165-62.4) * B$32</f>
        <v>4.7714416620500254E-3</v>
      </c>
      <c r="C70" s="117"/>
    </row>
    <row r="71" spans="1:3" x14ac:dyDescent="0.2">
      <c r="A71" s="9" t="s">
        <v>220</v>
      </c>
      <c r="B71" s="10">
        <f>B70 / (62.4 *$B$30)</f>
        <v>1.2872964857037321E-5</v>
      </c>
      <c r="C71" s="118"/>
    </row>
  </sheetData>
  <sheetProtection password="E1DD" sheet="1" objects="1" scenarios="1"/>
  <mergeCells count="5">
    <mergeCell ref="C66:C71"/>
    <mergeCell ref="C42:C47"/>
    <mergeCell ref="C48:C53"/>
    <mergeCell ref="C54:C59"/>
    <mergeCell ref="C60:C65"/>
  </mergeCells>
  <phoneticPr fontId="0"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C17" sqref="C17"/>
    </sheetView>
  </sheetViews>
  <sheetFormatPr defaultRowHeight="12.75" x14ac:dyDescent="0.2"/>
  <cols>
    <col min="1" max="1" width="18.42578125" bestFit="1" customWidth="1"/>
    <col min="2" max="2" width="12" bestFit="1" customWidth="1"/>
    <col min="3" max="3" width="68.5703125" bestFit="1" customWidth="1"/>
  </cols>
  <sheetData>
    <row r="1" spans="1:3" x14ac:dyDescent="0.2">
      <c r="A1" s="73" t="s">
        <v>277</v>
      </c>
      <c r="B1" s="55"/>
      <c r="C1" s="92"/>
    </row>
    <row r="2" spans="1:3" x14ac:dyDescent="0.2">
      <c r="A2" s="73"/>
      <c r="B2" s="55"/>
      <c r="C2" s="6"/>
    </row>
    <row r="3" spans="1:3" x14ac:dyDescent="0.2">
      <c r="A3" s="91" t="s">
        <v>233</v>
      </c>
      <c r="B3" s="77"/>
      <c r="C3" s="4"/>
    </row>
    <row r="4" spans="1:3" x14ac:dyDescent="0.2">
      <c r="A4" s="26" t="s">
        <v>244</v>
      </c>
      <c r="B4" s="55">
        <f>Inputs!B8</f>
        <v>2.13</v>
      </c>
      <c r="C4" s="7" t="s">
        <v>106</v>
      </c>
    </row>
    <row r="5" spans="1:3" x14ac:dyDescent="0.2">
      <c r="A5" s="26" t="s">
        <v>220</v>
      </c>
      <c r="B5" s="55">
        <f>Inputs!B14</f>
        <v>1.5900000000000001E-2</v>
      </c>
      <c r="C5" s="78" t="s">
        <v>245</v>
      </c>
    </row>
    <row r="6" spans="1:3" ht="15.75" x14ac:dyDescent="0.3">
      <c r="A6" s="26" t="s">
        <v>352</v>
      </c>
      <c r="B6" s="55">
        <f>SQRT(B5 * B4 * 32.17)</f>
        <v>1.0437918326946232</v>
      </c>
      <c r="C6" s="78" t="s">
        <v>250</v>
      </c>
    </row>
    <row r="7" spans="1:3" x14ac:dyDescent="0.2">
      <c r="A7" s="98" t="s">
        <v>359</v>
      </c>
      <c r="B7" s="55">
        <f>62.4 * B4 * B5</f>
        <v>2.1133007999999998</v>
      </c>
      <c r="C7" s="78" t="s">
        <v>333</v>
      </c>
    </row>
    <row r="8" spans="1:3" x14ac:dyDescent="0.2">
      <c r="A8" s="26" t="s">
        <v>216</v>
      </c>
      <c r="B8" s="55">
        <f>Inputs!B25</f>
        <v>70</v>
      </c>
      <c r="C8" s="78" t="s">
        <v>308</v>
      </c>
    </row>
    <row r="9" spans="1:3" ht="14.25" x14ac:dyDescent="0.2">
      <c r="A9" s="98" t="s">
        <v>346</v>
      </c>
      <c r="B9" s="42">
        <f>PERCENTILE(WaterProperties!$C$2:$C$9,1-PERCENTRANK(WaterProperties!$A$2:$A$9,B8,10))</f>
        <v>1.0590000000632E-5</v>
      </c>
      <c r="C9" s="78" t="s">
        <v>246</v>
      </c>
    </row>
    <row r="10" spans="1:3" ht="14.25" x14ac:dyDescent="0.2">
      <c r="A10" s="98" t="s">
        <v>360</v>
      </c>
      <c r="B10" s="42">
        <v>165</v>
      </c>
      <c r="C10" s="78" t="s">
        <v>338</v>
      </c>
    </row>
    <row r="11" spans="1:3" ht="14.25" x14ac:dyDescent="0.2">
      <c r="A11" s="26" t="s">
        <v>361</v>
      </c>
      <c r="B11" s="42">
        <v>62.4</v>
      </c>
      <c r="C11" s="78" t="s">
        <v>251</v>
      </c>
    </row>
    <row r="12" spans="1:3" ht="15.75" x14ac:dyDescent="0.3">
      <c r="A12" s="26" t="s">
        <v>54</v>
      </c>
      <c r="B12" s="42">
        <f>Inputs!B29</f>
        <v>0.43</v>
      </c>
      <c r="C12" s="78" t="s">
        <v>181</v>
      </c>
    </row>
    <row r="13" spans="1:3" ht="15.75" x14ac:dyDescent="0.3">
      <c r="A13" s="26" t="s">
        <v>336</v>
      </c>
      <c r="B13" s="76">
        <f>B12 / 304.8</f>
        <v>1.410761154855643E-3</v>
      </c>
      <c r="C13" s="79" t="s">
        <v>248</v>
      </c>
    </row>
    <row r="14" spans="1:3" ht="15.75" x14ac:dyDescent="0.3">
      <c r="A14" s="26" t="s">
        <v>353</v>
      </c>
      <c r="B14" s="76">
        <f>$B$6 * B13 / $B$9</f>
        <v>139.05013892665485</v>
      </c>
      <c r="C14" s="79" t="s">
        <v>364</v>
      </c>
    </row>
    <row r="15" spans="1:3" ht="15.75" x14ac:dyDescent="0.3">
      <c r="A15" s="26" t="s">
        <v>362</v>
      </c>
      <c r="B15" s="76">
        <f>LOG10(B14)</f>
        <v>2.1431714271091997</v>
      </c>
      <c r="C15" s="79" t="s">
        <v>247</v>
      </c>
    </row>
    <row r="16" spans="1:3" ht="15.75" x14ac:dyDescent="0.3">
      <c r="A16" s="98" t="s">
        <v>351</v>
      </c>
      <c r="B16" s="6">
        <f>10^IF(B15 &lt;=1.03855586623,PERCENTILE(ShieldsChart!$E$2:$E$20, 1-PERCENTRANK(ShieldsChart!$D$2:$D$20, B15, 10)), PERCENTILE(ShieldsChart!$E$20:$E$47, PERCENTRANK(ShieldsChart!$D$20:$D$47, B15, 10)))</f>
        <v>4.6149236033864463E-2</v>
      </c>
      <c r="C16" s="80" t="s">
        <v>249</v>
      </c>
    </row>
    <row r="17" spans="1:3" ht="15.75" x14ac:dyDescent="0.3">
      <c r="A17" s="26" t="s">
        <v>335</v>
      </c>
      <c r="B17" s="6">
        <f>$B$7 / (B16 * ($B$10 - $B$11))</f>
        <v>0.44632317789824361</v>
      </c>
      <c r="C17" s="80" t="s">
        <v>366</v>
      </c>
    </row>
    <row r="18" spans="1:3" ht="15.75" x14ac:dyDescent="0.3">
      <c r="A18" s="26" t="s">
        <v>363</v>
      </c>
      <c r="B18" s="76">
        <f>$B$6 * B17 / $B$9</f>
        <v>43991.358621784086</v>
      </c>
      <c r="C18" s="79" t="s">
        <v>365</v>
      </c>
    </row>
    <row r="19" spans="1:3" ht="15.75" x14ac:dyDescent="0.3">
      <c r="A19" s="26" t="s">
        <v>362</v>
      </c>
      <c r="B19" s="76">
        <f>LOG10(B18)</f>
        <v>4.6433673748623452</v>
      </c>
      <c r="C19" s="7" t="s">
        <v>247</v>
      </c>
    </row>
    <row r="20" spans="1:3" ht="15.75" x14ac:dyDescent="0.3">
      <c r="A20" s="98" t="s">
        <v>351</v>
      </c>
      <c r="B20" s="6">
        <f>10^IF(B19 &lt;=1.03855586623,PERCENTILE(ShieldsChart!$E$2:$E$20, 1-PERCENTRANK(ShieldsChart!$D$2:$D$20, B19, 10)), PERCENTILE(ShieldsChart!$E$20:$E$47, PERCENTRANK(ShieldsChart!$D$20:$D$47, B19, 10)))</f>
        <v>5.755548066987707E-2</v>
      </c>
      <c r="C20" s="80" t="s">
        <v>367</v>
      </c>
    </row>
    <row r="21" spans="1:3" ht="15.75" x14ac:dyDescent="0.3">
      <c r="A21" s="26" t="s">
        <v>334</v>
      </c>
      <c r="B21" s="6">
        <f>$B$7 / (B20 * ($B$10 - $B$11))</f>
        <v>0.35787163002516054</v>
      </c>
      <c r="C21" s="80" t="s">
        <v>368</v>
      </c>
    </row>
    <row r="22" spans="1:3" ht="15.75" x14ac:dyDescent="0.3">
      <c r="A22" s="26" t="s">
        <v>353</v>
      </c>
      <c r="B22" s="76">
        <f>$B$6 * B21 / $B$9</f>
        <v>35273.228002935008</v>
      </c>
      <c r="C22" s="80"/>
    </row>
    <row r="23" spans="1:3" ht="15.75" x14ac:dyDescent="0.3">
      <c r="A23" s="26" t="s">
        <v>362</v>
      </c>
      <c r="B23" s="76">
        <f>LOG10(B22)</f>
        <v>4.5474452056190975</v>
      </c>
      <c r="C23" s="80"/>
    </row>
    <row r="24" spans="1:3" ht="15.75" x14ac:dyDescent="0.3">
      <c r="A24" s="98" t="s">
        <v>351</v>
      </c>
      <c r="B24" s="6">
        <f>10^IF(B23 &lt;=1.03855586623,PERCENTILE(ShieldsChart!$E$2:$E$20, 1-PERCENTRANK(ShieldsChart!$D$2:$D$20, B23, 10)), PERCENTILE(ShieldsChart!$E$20:$E$47, PERCENTRANK(ShieldsChart!$D$20:$D$47, B23, 10)))</f>
        <v>5.7549419648212433E-2</v>
      </c>
      <c r="C24" s="80"/>
    </row>
    <row r="25" spans="1:3" ht="15.75" x14ac:dyDescent="0.3">
      <c r="A25" s="26" t="s">
        <v>375</v>
      </c>
      <c r="B25" s="6">
        <f>$B$7 / (B24 * ($B$10 - $B$11))</f>
        <v>0.35790932054777569</v>
      </c>
      <c r="C25" s="80" t="s">
        <v>33</v>
      </c>
    </row>
    <row r="26" spans="1:3" ht="14.25" x14ac:dyDescent="0.25">
      <c r="A26" s="60" t="s">
        <v>376</v>
      </c>
      <c r="B26" s="108">
        <f>B25*304.8</f>
        <v>109.09076090296203</v>
      </c>
      <c r="C26" s="81" t="s">
        <v>181</v>
      </c>
    </row>
    <row r="30" spans="1:3" x14ac:dyDescent="0.2">
      <c r="B30" s="6"/>
    </row>
  </sheetData>
  <sheetProtection password="E1DD" sheet="1" objects="1" scenarios="1"/>
  <phoneticPr fontId="0"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heetViews>
  <sheetFormatPr defaultRowHeight="12.75" x14ac:dyDescent="0.2"/>
  <cols>
    <col min="1" max="1" width="52.85546875" customWidth="1"/>
    <col min="2" max="2" width="23.7109375" customWidth="1"/>
    <col min="3" max="3" width="57.85546875" bestFit="1" customWidth="1"/>
  </cols>
  <sheetData>
    <row r="1" spans="1:3" x14ac:dyDescent="0.2">
      <c r="A1" s="38" t="s">
        <v>157</v>
      </c>
      <c r="B1" t="s">
        <v>1</v>
      </c>
      <c r="C1" t="s">
        <v>2</v>
      </c>
    </row>
    <row r="2" spans="1:3" x14ac:dyDescent="0.2">
      <c r="A2" s="38"/>
    </row>
    <row r="3" spans="1:3" x14ac:dyDescent="0.2">
      <c r="A3" s="91" t="s">
        <v>271</v>
      </c>
      <c r="B3" s="3"/>
      <c r="C3" s="4"/>
    </row>
    <row r="4" spans="1:3" x14ac:dyDescent="0.2">
      <c r="A4" s="5" t="s">
        <v>44</v>
      </c>
      <c r="B4" s="28" t="str">
        <f>Inputs!B26</f>
        <v>dune</v>
      </c>
      <c r="C4" s="7"/>
    </row>
    <row r="5" spans="1:3" x14ac:dyDescent="0.2">
      <c r="A5" s="5" t="s">
        <v>151</v>
      </c>
      <c r="B5" s="6">
        <f>Inputs!B10</f>
        <v>12.41</v>
      </c>
      <c r="C5" s="7" t="s">
        <v>170</v>
      </c>
    </row>
    <row r="6" spans="1:3" ht="15.75" x14ac:dyDescent="0.3">
      <c r="A6" s="5" t="s">
        <v>19</v>
      </c>
      <c r="B6" s="6">
        <f>Inputs!B9</f>
        <v>3.99</v>
      </c>
      <c r="C6" s="7" t="s">
        <v>289</v>
      </c>
    </row>
    <row r="7" spans="1:3" ht="15.75" x14ac:dyDescent="0.3">
      <c r="A7" s="5" t="s">
        <v>103</v>
      </c>
      <c r="B7" s="6">
        <f>Inputs!B7</f>
        <v>3.99</v>
      </c>
      <c r="C7" s="7" t="s">
        <v>288</v>
      </c>
    </row>
    <row r="8" spans="1:3" x14ac:dyDescent="0.2">
      <c r="A8" s="5" t="s">
        <v>171</v>
      </c>
      <c r="B8" s="6">
        <f>Inputs!B27</f>
        <v>0.16700000000000001</v>
      </c>
      <c r="C8" s="7" t="s">
        <v>320</v>
      </c>
    </row>
    <row r="9" spans="1:3" ht="15.75" x14ac:dyDescent="0.3">
      <c r="A9" s="88" t="s">
        <v>149</v>
      </c>
      <c r="B9" s="110">
        <f>IF(B4="plane",0,IF(B4="dune",B6*B8,0.027 * B5^2/2))</f>
        <v>0.66633000000000009</v>
      </c>
      <c r="C9" s="7" t="s">
        <v>263</v>
      </c>
    </row>
    <row r="10" spans="1:3" x14ac:dyDescent="0.2">
      <c r="A10" s="88"/>
      <c r="B10" s="17"/>
      <c r="C10" s="7"/>
    </row>
    <row r="11" spans="1:3" x14ac:dyDescent="0.2">
      <c r="A11" s="72" t="s">
        <v>290</v>
      </c>
      <c r="B11" s="6"/>
      <c r="C11" s="7"/>
    </row>
    <row r="12" spans="1:3" x14ac:dyDescent="0.2">
      <c r="A12" s="9" t="s">
        <v>291</v>
      </c>
      <c r="B12" s="108">
        <f>IF(B4="dune", 0.066*B7^1.21/2, "N/A")</f>
        <v>0.17607234308811559</v>
      </c>
      <c r="C12" s="48" t="s">
        <v>222</v>
      </c>
    </row>
  </sheetData>
  <sheetProtection password="E1DD" sheet="1" objects="1" scenarios="1"/>
  <phoneticPr fontId="0"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heetViews>
  <sheetFormatPr defaultRowHeight="12.75" x14ac:dyDescent="0.2"/>
  <cols>
    <col min="1" max="1" width="36.85546875" customWidth="1"/>
  </cols>
  <sheetData>
    <row r="1" spans="1:7" x14ac:dyDescent="0.2">
      <c r="A1" t="s">
        <v>405</v>
      </c>
    </row>
    <row r="2" spans="1:7" x14ac:dyDescent="0.2">
      <c r="A2" t="s">
        <v>418</v>
      </c>
    </row>
    <row r="4" spans="1:7" x14ac:dyDescent="0.2">
      <c r="A4" t="s">
        <v>406</v>
      </c>
    </row>
    <row r="5" spans="1:7" x14ac:dyDescent="0.2">
      <c r="A5" t="s">
        <v>407</v>
      </c>
    </row>
    <row r="6" spans="1:7" x14ac:dyDescent="0.2">
      <c r="B6" t="s">
        <v>408</v>
      </c>
      <c r="C6" t="s">
        <v>409</v>
      </c>
      <c r="D6" t="s">
        <v>410</v>
      </c>
      <c r="E6" t="s">
        <v>411</v>
      </c>
      <c r="F6" t="s">
        <v>412</v>
      </c>
      <c r="G6" t="s">
        <v>413</v>
      </c>
    </row>
    <row r="7" spans="1:7" x14ac:dyDescent="0.2">
      <c r="A7" s="38" t="s">
        <v>414</v>
      </c>
      <c r="B7" s="106" t="s">
        <v>416</v>
      </c>
      <c r="C7" s="106" t="s">
        <v>415</v>
      </c>
      <c r="D7" s="106" t="s">
        <v>415</v>
      </c>
      <c r="E7" s="106" t="s">
        <v>423</v>
      </c>
      <c r="F7" s="106" t="s">
        <v>415</v>
      </c>
      <c r="G7" s="106" t="s">
        <v>415</v>
      </c>
    </row>
    <row r="8" spans="1:7" x14ac:dyDescent="0.2">
      <c r="B8" s="106"/>
      <c r="C8" s="106"/>
      <c r="D8" s="106"/>
      <c r="E8" s="106"/>
      <c r="F8" s="106"/>
      <c r="G8" s="106"/>
    </row>
    <row r="9" spans="1:7" x14ac:dyDescent="0.2">
      <c r="A9" s="38" t="s">
        <v>264</v>
      </c>
      <c r="B9" s="106"/>
      <c r="C9" s="106"/>
      <c r="D9" s="106"/>
      <c r="E9" s="106"/>
      <c r="F9" s="106"/>
      <c r="G9" s="106"/>
    </row>
    <row r="10" spans="1:7" x14ac:dyDescent="0.2">
      <c r="A10" t="s">
        <v>274</v>
      </c>
      <c r="B10" s="106" t="s">
        <v>423</v>
      </c>
      <c r="C10" s="106" t="s">
        <v>416</v>
      </c>
      <c r="D10" s="106" t="s">
        <v>415</v>
      </c>
      <c r="E10" s="106" t="s">
        <v>415</v>
      </c>
      <c r="F10" s="106" t="s">
        <v>415</v>
      </c>
      <c r="G10" s="106" t="s">
        <v>415</v>
      </c>
    </row>
    <row r="11" spans="1:7" x14ac:dyDescent="0.2">
      <c r="A11" t="s">
        <v>417</v>
      </c>
      <c r="B11" s="106" t="s">
        <v>423</v>
      </c>
      <c r="C11" s="106" t="s">
        <v>416</v>
      </c>
      <c r="D11" s="106" t="s">
        <v>415</v>
      </c>
      <c r="E11" s="106" t="s">
        <v>415</v>
      </c>
      <c r="F11" s="106" t="s">
        <v>415</v>
      </c>
      <c r="G11" s="106" t="s">
        <v>415</v>
      </c>
    </row>
    <row r="12" spans="1:7" x14ac:dyDescent="0.2">
      <c r="A12" t="s">
        <v>419</v>
      </c>
      <c r="B12" s="106" t="s">
        <v>423</v>
      </c>
      <c r="C12" s="106" t="s">
        <v>416</v>
      </c>
      <c r="D12" s="106" t="s">
        <v>416</v>
      </c>
      <c r="E12" s="106" t="s">
        <v>415</v>
      </c>
      <c r="F12" s="106" t="s">
        <v>415</v>
      </c>
      <c r="G12" s="106" t="s">
        <v>415</v>
      </c>
    </row>
    <row r="13" spans="1:7" x14ac:dyDescent="0.2">
      <c r="A13" t="s">
        <v>420</v>
      </c>
      <c r="B13" s="106" t="s">
        <v>423</v>
      </c>
      <c r="C13" s="106" t="s">
        <v>416</v>
      </c>
      <c r="D13" s="106" t="s">
        <v>415</v>
      </c>
      <c r="E13" s="106" t="s">
        <v>415</v>
      </c>
      <c r="F13" s="106" t="s">
        <v>415</v>
      </c>
      <c r="G13" s="106" t="s">
        <v>415</v>
      </c>
    </row>
    <row r="14" spans="1:7" x14ac:dyDescent="0.2">
      <c r="A14" t="s">
        <v>421</v>
      </c>
      <c r="B14" s="106" t="s">
        <v>415</v>
      </c>
      <c r="C14" s="106" t="s">
        <v>416</v>
      </c>
      <c r="D14" s="106" t="s">
        <v>415</v>
      </c>
      <c r="E14" s="106" t="s">
        <v>416</v>
      </c>
      <c r="F14" s="106" t="s">
        <v>415</v>
      </c>
      <c r="G14" s="106" t="s">
        <v>415</v>
      </c>
    </row>
    <row r="15" spans="1:7" x14ac:dyDescent="0.2">
      <c r="B15" s="106"/>
      <c r="C15" s="106"/>
      <c r="D15" s="106"/>
      <c r="E15" s="106"/>
      <c r="F15" s="106"/>
      <c r="G15" s="106"/>
    </row>
    <row r="16" spans="1:7" x14ac:dyDescent="0.2">
      <c r="A16" s="38" t="s">
        <v>282</v>
      </c>
      <c r="B16" s="106"/>
      <c r="C16" s="106"/>
      <c r="D16" s="106"/>
      <c r="E16" s="106"/>
      <c r="F16" s="106"/>
      <c r="G16" s="106"/>
    </row>
    <row r="17" spans="1:7" x14ac:dyDescent="0.2">
      <c r="A17" t="s">
        <v>285</v>
      </c>
      <c r="B17" s="106" t="s">
        <v>415</v>
      </c>
      <c r="C17" s="106" t="s">
        <v>422</v>
      </c>
      <c r="D17" s="106" t="s">
        <v>416</v>
      </c>
      <c r="E17" s="106" t="s">
        <v>415</v>
      </c>
      <c r="F17" s="106" t="s">
        <v>416</v>
      </c>
      <c r="G17" s="106" t="s">
        <v>415</v>
      </c>
    </row>
    <row r="18" spans="1:7" x14ac:dyDescent="0.2">
      <c r="A18" t="s">
        <v>274</v>
      </c>
      <c r="B18" s="106" t="s">
        <v>415</v>
      </c>
      <c r="C18" s="106" t="s">
        <v>415</v>
      </c>
      <c r="D18" s="106" t="s">
        <v>416</v>
      </c>
      <c r="E18" s="106" t="s">
        <v>415</v>
      </c>
      <c r="F18" s="106" t="s">
        <v>415</v>
      </c>
      <c r="G18" s="106" t="s">
        <v>415</v>
      </c>
    </row>
    <row r="19" spans="1:7" x14ac:dyDescent="0.2">
      <c r="A19" t="s">
        <v>283</v>
      </c>
      <c r="B19" s="106" t="s">
        <v>415</v>
      </c>
      <c r="C19" s="106" t="s">
        <v>422</v>
      </c>
      <c r="D19" s="106" t="s">
        <v>416</v>
      </c>
      <c r="E19" s="106" t="s">
        <v>415</v>
      </c>
      <c r="F19" s="106" t="s">
        <v>415</v>
      </c>
      <c r="G19" s="106" t="s">
        <v>415</v>
      </c>
    </row>
    <row r="20" spans="1:7" x14ac:dyDescent="0.2">
      <c r="A20" t="s">
        <v>284</v>
      </c>
      <c r="B20" s="106" t="s">
        <v>415</v>
      </c>
      <c r="C20" s="106" t="s">
        <v>422</v>
      </c>
      <c r="D20" s="106" t="s">
        <v>416</v>
      </c>
      <c r="E20" s="106" t="s">
        <v>415</v>
      </c>
      <c r="F20" s="106" t="s">
        <v>415</v>
      </c>
      <c r="G20" s="106" t="s">
        <v>415</v>
      </c>
    </row>
  </sheetData>
  <sheetProtection password="E1DD" sheet="1" objects="1" scenarios="1"/>
  <phoneticPr fontId="13"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heetViews>
  <sheetFormatPr defaultRowHeight="12.75" x14ac:dyDescent="0.2"/>
  <cols>
    <col min="1" max="1" width="58.28515625" customWidth="1"/>
  </cols>
  <sheetData>
    <row r="3" spans="1:1" ht="38.25" x14ac:dyDescent="0.2">
      <c r="A3" s="1" t="s">
        <v>237</v>
      </c>
    </row>
    <row r="4" spans="1:1" x14ac:dyDescent="0.2">
      <c r="A4" s="1"/>
    </row>
    <row r="5" spans="1:1" x14ac:dyDescent="0.2">
      <c r="A5" s="1" t="s">
        <v>240</v>
      </c>
    </row>
    <row r="6" spans="1:1" x14ac:dyDescent="0.2">
      <c r="A6" s="1"/>
    </row>
    <row r="7" spans="1:1" ht="25.5" x14ac:dyDescent="0.2">
      <c r="A7" s="41" t="s">
        <v>379</v>
      </c>
    </row>
    <row r="8" spans="1:1" x14ac:dyDescent="0.2">
      <c r="A8" s="1"/>
    </row>
    <row r="9" spans="1:1" ht="25.5" x14ac:dyDescent="0.2">
      <c r="A9" s="1" t="s">
        <v>241</v>
      </c>
    </row>
    <row r="10" spans="1:1" x14ac:dyDescent="0.2">
      <c r="A10" s="1"/>
    </row>
    <row r="11" spans="1:1" ht="38.25" x14ac:dyDescent="0.2">
      <c r="A11" s="1" t="s">
        <v>236</v>
      </c>
    </row>
    <row r="12" spans="1:1" x14ac:dyDescent="0.2">
      <c r="A12" s="1"/>
    </row>
    <row r="13" spans="1:1" ht="38.25" x14ac:dyDescent="0.2">
      <c r="A13" s="1" t="s">
        <v>239</v>
      </c>
    </row>
    <row r="15" spans="1:1" ht="38.25" x14ac:dyDescent="0.2">
      <c r="A15" s="1" t="s">
        <v>238</v>
      </c>
    </row>
    <row r="17" spans="1:1" ht="25.5" x14ac:dyDescent="0.2">
      <c r="A17" s="1" t="s">
        <v>242</v>
      </c>
    </row>
    <row r="19" spans="1:1" ht="25.5" x14ac:dyDescent="0.2">
      <c r="A19" s="1" t="s">
        <v>243</v>
      </c>
    </row>
    <row r="21" spans="1:1" ht="25.5" x14ac:dyDescent="0.2">
      <c r="A21" s="1" t="s">
        <v>429</v>
      </c>
    </row>
  </sheetData>
  <sheetProtection password="E1DD" sheet="1" objects="1" scenarios="1"/>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5</vt:i4>
      </vt:variant>
    </vt:vector>
  </HeadingPairs>
  <TitlesOfParts>
    <vt:vector size="27" baseType="lpstr">
      <vt:lpstr>License</vt:lpstr>
      <vt:lpstr>Inputs</vt:lpstr>
      <vt:lpstr>GeneralScour</vt:lpstr>
      <vt:lpstr>BendScour</vt:lpstr>
      <vt:lpstr>EquilibriumSlope</vt:lpstr>
      <vt:lpstr>InicipientMotion</vt:lpstr>
      <vt:lpstr>BedForm</vt:lpstr>
      <vt:lpstr>Scour Combinations</vt:lpstr>
      <vt:lpstr>References</vt:lpstr>
      <vt:lpstr>WaterProperties</vt:lpstr>
      <vt:lpstr>ShieldsChart</vt:lpstr>
      <vt:lpstr>USBREnvelopeChart</vt:lpstr>
      <vt:lpstr>LanesTractiveForceTable</vt:lpstr>
      <vt:lpstr>BlenchZeroBedTable</vt:lpstr>
      <vt:lpstr>USACENomograph</vt:lpstr>
      <vt:lpstr>NeillCompVelChart</vt:lpstr>
      <vt:lpstr>NeillCV2feettable</vt:lpstr>
      <vt:lpstr>NeillCV5feettable</vt:lpstr>
      <vt:lpstr>NeillCV10feettable</vt:lpstr>
      <vt:lpstr>NeillCV20feettable</vt:lpstr>
      <vt:lpstr>NeillCV50feettable</vt:lpstr>
      <vt:lpstr>RevisionHistory</vt:lpstr>
      <vt:lpstr>q</vt:lpstr>
      <vt:lpstr>slope</vt:lpstr>
      <vt:lpstr>topwidth</vt:lpstr>
      <vt:lpstr>vavg</vt:lpstr>
      <vt:lpstr>ymax</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Baird, Drew C</dc:creator>
  <cp:lastModifiedBy>.</cp:lastModifiedBy>
  <cp:lastPrinted>2006-04-20T22:04:03Z</cp:lastPrinted>
  <dcterms:created xsi:type="dcterms:W3CDTF">1996-10-14T23:33:28Z</dcterms:created>
  <dcterms:modified xsi:type="dcterms:W3CDTF">2016-04-15T18:00:35Z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