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cts\jdngroup\Doug_Research\MPC Data Repository\"/>
    </mc:Choice>
  </mc:AlternateContent>
  <xr:revisionPtr revIDLastSave="0" documentId="13_ncr:1_{410955D3-9775-41E3-A4B9-FFCEEAC12E88}" xr6:coauthVersionLast="41" xr6:coauthVersionMax="41" xr10:uidLastSave="{00000000-0000-0000-0000-000000000000}"/>
  <bookViews>
    <workbookView xWindow="1200" yWindow="1620" windowWidth="22380" windowHeight="13380" xr2:uid="{FBB962F6-C2E7-4B41-A433-27628EC62276}"/>
  </bookViews>
  <sheets>
    <sheet name="Routing" sheetId="1" r:id="rId1"/>
  </sheets>
  <definedNames>
    <definedName name="solver_adj" localSheetId="0" hidden="1">Routing!$G$16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Routing!$G$11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Routing!$G$12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Routing!$G$12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1" l="1"/>
  <c r="B8" i="1"/>
  <c r="C8" i="1"/>
  <c r="D8" i="1"/>
  <c r="E8" i="1"/>
  <c r="F8" i="1"/>
  <c r="G8" i="1"/>
  <c r="C88" i="1"/>
  <c r="B87" i="1"/>
  <c r="B88" i="1" s="1"/>
  <c r="C86" i="1"/>
  <c r="C87" i="1" s="1"/>
  <c r="C78" i="1"/>
  <c r="B77" i="1"/>
  <c r="B78" i="1" s="1"/>
  <c r="C76" i="1"/>
  <c r="C77" i="1" s="1"/>
  <c r="C67" i="1"/>
  <c r="B66" i="1"/>
  <c r="B67" i="1" s="1"/>
  <c r="C65" i="1"/>
  <c r="C66" i="1" s="1"/>
  <c r="C55" i="1"/>
  <c r="B54" i="1"/>
  <c r="B55" i="1" s="1"/>
  <c r="C53" i="1"/>
  <c r="C54" i="1" s="1"/>
  <c r="G43" i="1"/>
  <c r="E43" i="1"/>
  <c r="C43" i="1"/>
  <c r="B42" i="1"/>
  <c r="B43" i="1" s="1"/>
  <c r="G41" i="1"/>
  <c r="G42" i="1" s="1"/>
  <c r="F41" i="1"/>
  <c r="F42" i="1" s="1"/>
  <c r="F43" i="1" s="1"/>
  <c r="E41" i="1"/>
  <c r="E42" i="1" s="1"/>
  <c r="D41" i="1"/>
  <c r="D42" i="1" s="1"/>
  <c r="D43" i="1" s="1"/>
  <c r="C41" i="1"/>
  <c r="C42" i="1" s="1"/>
  <c r="C29" i="1"/>
  <c r="B28" i="1"/>
  <c r="B29" i="1" s="1"/>
  <c r="C27" i="1"/>
  <c r="C28" i="1" s="1"/>
  <c r="G14" i="1"/>
  <c r="F14" i="1"/>
  <c r="E14" i="1"/>
  <c r="D14" i="1"/>
  <c r="C14" i="1"/>
  <c r="B14" i="1"/>
  <c r="G13" i="1"/>
  <c r="F13" i="1"/>
  <c r="F15" i="1" s="1"/>
  <c r="E13" i="1"/>
  <c r="E15" i="1" s="1"/>
  <c r="D13" i="1"/>
  <c r="D15" i="1" s="1"/>
  <c r="C13" i="1"/>
  <c r="B13" i="1"/>
  <c r="B15" i="1" s="1"/>
  <c r="G3" i="1"/>
  <c r="G4" i="1" s="1"/>
  <c r="F3" i="1"/>
  <c r="E3" i="1"/>
  <c r="D3" i="1"/>
  <c r="C3" i="1"/>
  <c r="B3" i="1"/>
  <c r="F2" i="1"/>
  <c r="D2" i="1"/>
  <c r="C2" i="1"/>
  <c r="B2" i="1"/>
  <c r="D4" i="1" l="1"/>
  <c r="D12" i="1" s="1"/>
  <c r="E4" i="1"/>
  <c r="E12" i="1" s="1"/>
  <c r="B4" i="1"/>
  <c r="B9" i="1" s="1"/>
  <c r="F4" i="1"/>
  <c r="F9" i="1" s="1"/>
  <c r="C4" i="1"/>
  <c r="G12" i="1"/>
  <c r="B12" i="1"/>
  <c r="F12" i="1"/>
  <c r="C12" i="1"/>
  <c r="D9" i="1"/>
  <c r="G10" i="1"/>
  <c r="C15" i="1"/>
  <c r="G15" i="1"/>
  <c r="G9" i="1" s="1"/>
  <c r="D10" i="1" l="1"/>
  <c r="E9" i="1"/>
  <c r="F10" i="1"/>
  <c r="B10" i="1"/>
  <c r="E10" i="1"/>
  <c r="C9" i="1"/>
  <c r="C10" i="1"/>
</calcChain>
</file>

<file path=xl/sharedStrings.xml><?xml version="1.0" encoding="utf-8"?>
<sst xmlns="http://schemas.openxmlformats.org/spreadsheetml/2006/main" count="103" uniqueCount="46">
  <si>
    <t>Reach-1</t>
  </si>
  <si>
    <t>Reach-2</t>
  </si>
  <si>
    <t>Reach-3</t>
  </si>
  <si>
    <t>Reach-4</t>
  </si>
  <si>
    <t>Reach-5</t>
  </si>
  <si>
    <t>Reach-Moff</t>
  </si>
  <si>
    <t>Length (m)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</si>
  <si>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z (m)</t>
    </r>
  </si>
  <si>
    <t>Slope (m/m)</t>
  </si>
  <si>
    <t>Hydrograph Duration</t>
  </si>
  <si>
    <t>T (s):</t>
  </si>
  <si>
    <r>
      <t>Q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/s):</t>
    </r>
  </si>
  <si>
    <r>
      <t>Q</t>
    </r>
    <r>
      <rPr>
        <vertAlign val="subscript"/>
        <sz val="11"/>
        <color theme="1"/>
        <rFont val="Calibri"/>
        <family val="2"/>
        <scheme val="minor"/>
      </rPr>
      <t>trial</t>
    </r>
    <r>
      <rPr>
        <sz val="11"/>
        <color theme="1"/>
        <rFont val="Calibri"/>
        <family val="2"/>
        <scheme val="minor"/>
      </rPr>
      <t>:</t>
    </r>
  </si>
  <si>
    <t>A (m):</t>
  </si>
  <si>
    <t>P (m):</t>
  </si>
  <si>
    <r>
      <t>u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(m/s):</t>
    </r>
  </si>
  <si>
    <r>
      <t>d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(m):</t>
    </r>
  </si>
  <si>
    <t>Manning's n</t>
  </si>
  <si>
    <t>Bottom width (m)</t>
  </si>
  <si>
    <t>Rectangular Channel:</t>
  </si>
  <si>
    <r>
      <t>TS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u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/d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(rectangle):</t>
    </r>
  </si>
  <si>
    <r>
      <t>TS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(g/d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scheme val="minor"/>
      </rPr>
      <t>1/2</t>
    </r>
    <r>
      <rPr>
        <sz val="11"/>
        <color theme="1"/>
        <rFont val="Calibri"/>
        <family val="2"/>
        <scheme val="minor"/>
      </rPr>
      <t xml:space="preserve"> (rectangle):</t>
    </r>
  </si>
  <si>
    <t>FID</t>
  </si>
  <si>
    <t>Shape *</t>
  </si>
  <si>
    <t>ARCID</t>
  </si>
  <si>
    <t>GRID_CODE</t>
  </si>
  <si>
    <t>FROM_NODE</t>
  </si>
  <si>
    <t>TO_NODE</t>
  </si>
  <si>
    <t>Length_m</t>
  </si>
  <si>
    <t>Polyline</t>
  </si>
  <si>
    <t>8-point XS:</t>
  </si>
  <si>
    <t>Station</t>
  </si>
  <si>
    <t>Elevation</t>
  </si>
  <si>
    <t xml:space="preserve"> </t>
  </si>
  <si>
    <t>Elevation (xs1)</t>
  </si>
  <si>
    <t>Station (xs2)</t>
  </si>
  <si>
    <t>Elevation (xs2)</t>
  </si>
  <si>
    <t>Station (xs3)</t>
  </si>
  <si>
    <t>Elevation (xs3)</t>
  </si>
  <si>
    <t>SS L:</t>
  </si>
  <si>
    <t xml:space="preserve">SS R: </t>
  </si>
  <si>
    <t>SS R:</t>
  </si>
  <si>
    <t>Ss L:</t>
  </si>
  <si>
    <t>Ss R:</t>
  </si>
  <si>
    <t>Representative cross sections extracted from DEM:</t>
  </si>
  <si>
    <t>Manning's n values based on representative for the observed channel type, vegetation, and substrate (Chow 1959)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</si>
</sst>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" fontId="0" fillId="0" borderId="0" xfId="0" applyNumberFormat="1"/>
    <xf numFmtId="164" fontId="0" fillId="0" borderId="0" xfId="0" applyNumberFormat="1" applyAlignment="1">
      <alignment horizontal="center"/>
    </xf>
    <xf numFmtId="22" fontId="0" fillId="0" borderId="0" xfId="0" applyNumberFormat="1"/>
    <xf numFmtId="1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Fill="1"/>
    <xf numFmtId="0" fontId="1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png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113</xdr:row>
      <xdr:rowOff>163081</xdr:rowOff>
    </xdr:from>
    <xdr:to>
      <xdr:col>6</xdr:col>
      <xdr:colOff>232834</xdr:colOff>
      <xdr:row>134</xdr:row>
      <xdr:rowOff>167431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3886FA-2CA3-4312-B7F9-2BC8632CD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E2E2E2"/>
            </a:clrFrom>
            <a:clrTo>
              <a:srgbClr val="E2E2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525914"/>
          <a:ext cx="6085417" cy="40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11545</xdr:colOff>
      <xdr:row>135</xdr:row>
      <xdr:rowOff>18569</xdr:rowOff>
    </xdr:from>
    <xdr:to>
      <xdr:col>6</xdr:col>
      <xdr:colOff>846668</xdr:colOff>
      <xdr:row>156</xdr:row>
      <xdr:rowOff>25706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B5EC05A-D18F-4512-9979-49440A471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45" y="28572402"/>
          <a:ext cx="6687706" cy="40076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1924</xdr:colOff>
      <xdr:row>156</xdr:row>
      <xdr:rowOff>30497</xdr:rowOff>
    </xdr:from>
    <xdr:to>
      <xdr:col>6</xdr:col>
      <xdr:colOff>675276</xdr:colOff>
      <xdr:row>176</xdr:row>
      <xdr:rowOff>179917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2C884E9-F209-4314-B5AD-594042BE4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E2E2E2"/>
            </a:clrFrom>
            <a:clrTo>
              <a:srgbClr val="E2E2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" y="32584830"/>
          <a:ext cx="6525935" cy="3959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10584</xdr:colOff>
      <xdr:row>177</xdr:row>
      <xdr:rowOff>18831</xdr:rowOff>
    </xdr:from>
    <xdr:to>
      <xdr:col>6</xdr:col>
      <xdr:colOff>740834</xdr:colOff>
      <xdr:row>197</xdr:row>
      <xdr:rowOff>162135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7E0C338-83AA-4B7B-959A-EFFF7A370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E2E2E2"/>
            </a:clrFrom>
            <a:clrTo>
              <a:srgbClr val="E2E2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4" y="36573664"/>
          <a:ext cx="6582833" cy="3953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31752</xdr:colOff>
      <xdr:row>198</xdr:row>
      <xdr:rowOff>1640</xdr:rowOff>
    </xdr:from>
    <xdr:to>
      <xdr:col>6</xdr:col>
      <xdr:colOff>42335</xdr:colOff>
      <xdr:row>218</xdr:row>
      <xdr:rowOff>168677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00B1747-0632-4719-9054-8727FEA5A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E2E2E2"/>
            </a:clrFrom>
            <a:clrTo>
              <a:srgbClr val="E2E2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2" y="40556973"/>
          <a:ext cx="5863166" cy="39770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52917</xdr:colOff>
      <xdr:row>198</xdr:row>
      <xdr:rowOff>7412</xdr:rowOff>
    </xdr:from>
    <xdr:to>
      <xdr:col>9</xdr:col>
      <xdr:colOff>1545167</xdr:colOff>
      <xdr:row>218</xdr:row>
      <xdr:rowOff>129797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C87726C-0ED5-468A-9A2A-54445A5A5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E2E2E2"/>
            </a:clrFrom>
            <a:clrTo>
              <a:srgbClr val="E2E2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38001579"/>
          <a:ext cx="5979584" cy="3932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240</xdr:row>
      <xdr:rowOff>30886</xdr:rowOff>
    </xdr:from>
    <xdr:to>
      <xdr:col>5</xdr:col>
      <xdr:colOff>707310</xdr:colOff>
      <xdr:row>260</xdr:row>
      <xdr:rowOff>158752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1E1127F-D8BD-4756-8083-BE61E59B5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E2E2E2"/>
            </a:clrFrom>
            <a:clrTo>
              <a:srgbClr val="E2E2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87219"/>
          <a:ext cx="5670893" cy="39378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804334</xdr:colOff>
      <xdr:row>240</xdr:row>
      <xdr:rowOff>25209</xdr:rowOff>
    </xdr:from>
    <xdr:to>
      <xdr:col>9</xdr:col>
      <xdr:colOff>433917</xdr:colOff>
      <xdr:row>260</xdr:row>
      <xdr:rowOff>180431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ABC08DF3-D492-4D1D-A728-EAF0688313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E2E2E2"/>
            </a:clrFrom>
            <a:clrTo>
              <a:srgbClr val="E2E2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1" y="48581542"/>
          <a:ext cx="5947833" cy="3965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10583</xdr:colOff>
      <xdr:row>92</xdr:row>
      <xdr:rowOff>74798</xdr:rowOff>
    </xdr:from>
    <xdr:to>
      <xdr:col>5</xdr:col>
      <xdr:colOff>762000</xdr:colOff>
      <xdr:row>113</xdr:row>
      <xdr:rowOff>28519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66B46777-B457-4347-AD3B-06A476560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E2E2E2"/>
            </a:clrFrom>
            <a:clrTo>
              <a:srgbClr val="E2E2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20437131"/>
          <a:ext cx="5715000" cy="39542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4811</xdr:colOff>
      <xdr:row>6</xdr:row>
      <xdr:rowOff>28863</xdr:rowOff>
    </xdr:from>
    <xdr:to>
      <xdr:col>9</xdr:col>
      <xdr:colOff>1840806</xdr:colOff>
      <xdr:row>16</xdr:row>
      <xdr:rowOff>145664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624A95C5-843D-4208-8F99-97E0DA56B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111644" y="1171863"/>
          <a:ext cx="4069079" cy="2296968"/>
        </a:xfrm>
        <a:prstGeom prst="rect">
          <a:avLst/>
        </a:prstGeom>
      </xdr:spPr>
    </xdr:pic>
    <xdr:clientData/>
  </xdr:twoCellAnchor>
  <xdr:twoCellAnchor editAs="oneCell">
    <xdr:from>
      <xdr:col>8</xdr:col>
      <xdr:colOff>21164</xdr:colOff>
      <xdr:row>16</xdr:row>
      <xdr:rowOff>141431</xdr:rowOff>
    </xdr:from>
    <xdr:to>
      <xdr:col>9</xdr:col>
      <xdr:colOff>1525651</xdr:colOff>
      <xdr:row>21</xdr:row>
      <xdr:rowOff>129961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A55BD6BF-5453-4B71-B4C7-E3CD0B5A6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127997" y="3464598"/>
          <a:ext cx="3737571" cy="94103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117</xdr:row>
      <xdr:rowOff>180975</xdr:rowOff>
    </xdr:from>
    <xdr:to>
      <xdr:col>8</xdr:col>
      <xdr:colOff>917575</xdr:colOff>
      <xdr:row>149</xdr:row>
      <xdr:rowOff>9525</xdr:rowOff>
    </xdr:to>
    <xdr:sp macro="" textlink="">
      <xdr:nvSpPr>
        <xdr:cNvPr id="13" name="AutoShape 10">
          <a:extLst>
            <a:ext uri="{FF2B5EF4-FFF2-40B4-BE49-F238E27FC236}">
              <a16:creationId xmlns:a16="http://schemas.microsoft.com/office/drawing/2014/main" id="{3E058B75-FDA9-4984-8D8B-47E9945F1FCF}"/>
            </a:ext>
          </a:extLst>
        </xdr:cNvPr>
        <xdr:cNvSpPr>
          <a:spLocks noChangeAspect="1" noChangeArrowheads="1"/>
        </xdr:cNvSpPr>
      </xdr:nvSpPr>
      <xdr:spPr bwMode="auto">
        <a:xfrm>
          <a:off x="0" y="25250775"/>
          <a:ext cx="9010650" cy="5924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828817</xdr:colOff>
      <xdr:row>92</xdr:row>
      <xdr:rowOff>118341</xdr:rowOff>
    </xdr:from>
    <xdr:to>
      <xdr:col>9</xdr:col>
      <xdr:colOff>1333500</xdr:colOff>
      <xdr:row>113</xdr:row>
      <xdr:rowOff>76062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3C6AC596-5348-4C9B-845D-D18E31E391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2400" y="17919508"/>
          <a:ext cx="5881017" cy="39582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273414</xdr:colOff>
      <xdr:row>113</xdr:row>
      <xdr:rowOff>160673</xdr:rowOff>
    </xdr:from>
    <xdr:to>
      <xdr:col>9</xdr:col>
      <xdr:colOff>1725083</xdr:colOff>
      <xdr:row>134</xdr:row>
      <xdr:rowOff>121173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B907BE4-F034-4931-873F-287B88845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5997" y="21962340"/>
          <a:ext cx="5939003" cy="396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899584</xdr:colOff>
      <xdr:row>135</xdr:row>
      <xdr:rowOff>21167</xdr:rowOff>
    </xdr:from>
    <xdr:to>
      <xdr:col>10</xdr:col>
      <xdr:colOff>582084</xdr:colOff>
      <xdr:row>155</xdr:row>
      <xdr:rowOff>132570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CD49ADF8-8540-4194-BF79-E73EF5810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2167" y="26013834"/>
          <a:ext cx="6402917" cy="39214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719667</xdr:colOff>
      <xdr:row>156</xdr:row>
      <xdr:rowOff>42333</xdr:rowOff>
    </xdr:from>
    <xdr:to>
      <xdr:col>10</xdr:col>
      <xdr:colOff>465667</xdr:colOff>
      <xdr:row>176</xdr:row>
      <xdr:rowOff>177157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0AA70D2-6538-4096-8B5B-2E20CDD105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30035500"/>
          <a:ext cx="6466417" cy="39448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783168</xdr:colOff>
      <xdr:row>177</xdr:row>
      <xdr:rowOff>31751</xdr:rowOff>
    </xdr:from>
    <xdr:to>
      <xdr:col>10</xdr:col>
      <xdr:colOff>666751</xdr:colOff>
      <xdr:row>197</xdr:row>
      <xdr:rowOff>158113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EDF935E2-60CA-4F45-89BC-85F2D64B7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5751" y="34025418"/>
          <a:ext cx="6604000" cy="39363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709084</xdr:colOff>
      <xdr:row>177</xdr:row>
      <xdr:rowOff>52917</xdr:rowOff>
    </xdr:from>
    <xdr:to>
      <xdr:col>13</xdr:col>
      <xdr:colOff>454223</xdr:colOff>
      <xdr:row>198</xdr:row>
      <xdr:rowOff>31751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FA63E306-959E-468B-8557-2DCE7455D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2084" y="34046584"/>
          <a:ext cx="6444389" cy="3979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219</xdr:row>
      <xdr:rowOff>21165</xdr:rowOff>
    </xdr:from>
    <xdr:to>
      <xdr:col>5</xdr:col>
      <xdr:colOff>645585</xdr:colOff>
      <xdr:row>239</xdr:row>
      <xdr:rowOff>125431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14A76132-E552-4045-ADAC-6D0A65D77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576998"/>
          <a:ext cx="5609168" cy="39142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1259417</xdr:colOff>
      <xdr:row>21</xdr:row>
      <xdr:rowOff>158751</xdr:rowOff>
    </xdr:from>
    <xdr:to>
      <xdr:col>10</xdr:col>
      <xdr:colOff>757107</xdr:colOff>
      <xdr:row>43</xdr:row>
      <xdr:rowOff>53465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A2714C73-E5E7-462A-A03C-B65E9B618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8053917" y="4434418"/>
          <a:ext cx="5276190" cy="40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261</xdr:row>
      <xdr:rowOff>0</xdr:rowOff>
    </xdr:from>
    <xdr:to>
      <xdr:col>7</xdr:col>
      <xdr:colOff>571500</xdr:colOff>
      <xdr:row>285</xdr:row>
      <xdr:rowOff>180975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C48C6533-B3DC-48D0-B068-955EC4921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556833"/>
          <a:ext cx="7366000" cy="475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B81C6-924B-43A2-ABF7-F98F275889C1}">
  <dimension ref="A1:T359"/>
  <sheetViews>
    <sheetView tabSelected="1" zoomScale="90" zoomScaleNormal="90" workbookViewId="0">
      <selection activeCell="H11" sqref="H11"/>
    </sheetView>
  </sheetViews>
  <sheetFormatPr defaultRowHeight="15" x14ac:dyDescent="0.25"/>
  <cols>
    <col min="1" max="1" width="23.5703125" bestFit="1" customWidth="1"/>
    <col min="3" max="3" width="14.140625" bestFit="1" customWidth="1"/>
    <col min="4" max="4" width="13.28515625" bestFit="1" customWidth="1"/>
    <col min="5" max="5" width="14.140625" bestFit="1" customWidth="1"/>
    <col min="6" max="6" width="13.28515625" bestFit="1" customWidth="1"/>
    <col min="7" max="7" width="14.140625" bestFit="1" customWidth="1"/>
    <col min="8" max="8" width="19.7109375" bestFit="1" customWidth="1"/>
    <col min="9" max="13" width="33.42578125" bestFit="1" customWidth="1"/>
    <col min="20" max="20" width="10.2851562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9</v>
      </c>
    </row>
    <row r="2" spans="1:13" x14ac:dyDescent="0.25">
      <c r="A2" t="s">
        <v>6</v>
      </c>
      <c r="B2">
        <f>G22</f>
        <v>3023.6220294629502</v>
      </c>
      <c r="C2">
        <f>SUM(G35:G36)</f>
        <v>13101.352274967951</v>
      </c>
      <c r="D2">
        <f>G48</f>
        <v>684.18119041056696</v>
      </c>
      <c r="E2">
        <f>G60-3456</f>
        <v>8256.3867814781006</v>
      </c>
      <c r="F2">
        <f>G72-1768</f>
        <v>9772.6233094698</v>
      </c>
      <c r="G2">
        <v>3023</v>
      </c>
      <c r="H2" s="5">
        <v>41528.375</v>
      </c>
    </row>
    <row r="3" spans="1:13" x14ac:dyDescent="0.25">
      <c r="A3" t="s">
        <v>7</v>
      </c>
      <c r="B3">
        <f>2735.6-2695.4</f>
        <v>40.199999999999818</v>
      </c>
      <c r="C3">
        <f>2695.4-2472.5</f>
        <v>222.90000000000009</v>
      </c>
      <c r="D3">
        <f>2472.5-2462.9</f>
        <v>9.5999999999999091</v>
      </c>
      <c r="E3">
        <f>2422-2220.6</f>
        <v>201.40000000000009</v>
      </c>
      <c r="F3">
        <f>2220.6-1894.1</f>
        <v>326.5</v>
      </c>
      <c r="G3">
        <f>2810.4-2735.3</f>
        <v>75.099999999999909</v>
      </c>
      <c r="H3" s="5">
        <v>41532.416666666664</v>
      </c>
    </row>
    <row r="4" spans="1:13" x14ac:dyDescent="0.25">
      <c r="A4" t="s">
        <v>8</v>
      </c>
      <c r="B4">
        <f t="shared" ref="B4:G4" si="0">B3/B2</f>
        <v>1.3295312578186256E-2</v>
      </c>
      <c r="C4">
        <f t="shared" si="0"/>
        <v>1.7013510920234023E-2</v>
      </c>
      <c r="D4">
        <f t="shared" si="0"/>
        <v>1.4031370833563974E-2</v>
      </c>
      <c r="E4">
        <f t="shared" si="0"/>
        <v>2.4393237057620552E-2</v>
      </c>
      <c r="F4">
        <f t="shared" si="0"/>
        <v>3.3409657740886958E-2</v>
      </c>
      <c r="G4">
        <f t="shared" si="0"/>
        <v>2.4842871319880881E-2</v>
      </c>
      <c r="I4" s="1"/>
      <c r="J4" s="1"/>
      <c r="K4" s="1"/>
      <c r="L4" s="1"/>
      <c r="M4" s="1"/>
    </row>
    <row r="5" spans="1:13" x14ac:dyDescent="0.25">
      <c r="I5" s="1"/>
      <c r="J5" s="1"/>
      <c r="K5" s="1"/>
      <c r="L5" s="1"/>
      <c r="M5" s="1"/>
    </row>
    <row r="6" spans="1:13" x14ac:dyDescent="0.25">
      <c r="B6" s="8"/>
      <c r="C6" s="8"/>
      <c r="D6" s="8"/>
      <c r="E6" s="8"/>
      <c r="F6" s="8"/>
      <c r="I6" s="10" t="s">
        <v>45</v>
      </c>
      <c r="J6" s="1"/>
      <c r="K6" s="1"/>
      <c r="L6" s="1"/>
      <c r="M6" s="1"/>
    </row>
    <row r="7" spans="1:13" x14ac:dyDescent="0.25">
      <c r="A7" s="2" t="s">
        <v>19</v>
      </c>
      <c r="B7" s="8"/>
      <c r="C7" s="8"/>
      <c r="D7" s="8"/>
      <c r="E7" s="8"/>
      <c r="F7" s="8"/>
      <c r="I7" s="4"/>
      <c r="J7" s="4"/>
      <c r="K7" s="4"/>
      <c r="L7" s="4"/>
      <c r="M7" s="4"/>
    </row>
    <row r="8" spans="1:13" x14ac:dyDescent="0.25">
      <c r="A8" t="s">
        <v>10</v>
      </c>
      <c r="B8">
        <f>(H3-H2)*24*60*60</f>
        <v>349199.99999979045</v>
      </c>
      <c r="C8">
        <f>(H3-H2)*24*60*60</f>
        <v>349199.99999979045</v>
      </c>
      <c r="D8">
        <f>(H3-H2)*24*60*60</f>
        <v>349199.99999979045</v>
      </c>
      <c r="E8">
        <f>(H3-H2)*24*60*60</f>
        <v>349199.99999979045</v>
      </c>
      <c r="F8">
        <f>(H3-H2)*24*60*60</f>
        <v>349199.99999979045</v>
      </c>
      <c r="G8">
        <f>(H3-H2)*24*60*60</f>
        <v>349199.99999979045</v>
      </c>
      <c r="J8" s="4"/>
      <c r="K8" s="4"/>
      <c r="L8" s="4"/>
      <c r="M8" s="4"/>
    </row>
    <row r="9" spans="1:13" ht="18" x14ac:dyDescent="0.35">
      <c r="A9" t="s">
        <v>20</v>
      </c>
      <c r="B9" s="3">
        <f>B8*B4*B15/B16</f>
        <v>19387.465069567355</v>
      </c>
      <c r="C9" s="3">
        <f>C8*C4*C15/C16</f>
        <v>19656.70871030922</v>
      </c>
      <c r="D9" s="3">
        <f>D8*D4*D15/D16</f>
        <v>19643.720140562084</v>
      </c>
      <c r="E9" s="3">
        <f>E8*E4*E15/E16</f>
        <v>33221.593336451508</v>
      </c>
      <c r="F9" s="3">
        <f>F8*F4*F15/F16</f>
        <v>62723.698934217537</v>
      </c>
      <c r="G9" s="3">
        <f>G8*G4*G15/G16</f>
        <v>33731.255316633149</v>
      </c>
      <c r="J9" s="6"/>
      <c r="K9" s="6"/>
      <c r="L9" s="6"/>
      <c r="M9" s="6"/>
    </row>
    <row r="10" spans="1:13" ht="18.75" x14ac:dyDescent="0.35">
      <c r="A10" t="s">
        <v>21</v>
      </c>
      <c r="B10" s="3">
        <f>B8*B4*(9.81/B16)^0.5</f>
        <v>20380.48910922038</v>
      </c>
      <c r="C10" s="3">
        <f>C8*C4*(9.81/C16)^0.5</f>
        <v>22032.420320825942</v>
      </c>
      <c r="D10" s="3">
        <f>D8*D4*(9.81/D16)^0.5</f>
        <v>20045.071286428745</v>
      </c>
      <c r="E10" s="3">
        <f>E8*E4*(9.81/E16)^0.5</f>
        <v>39142.966864982933</v>
      </c>
      <c r="F10" s="3">
        <f>F8*F4*(9.81/F16)^0.5</f>
        <v>58090.950668238351</v>
      </c>
      <c r="G10" s="3">
        <f>G8*G4*(9.81/G16)^0.5</f>
        <v>35219.73320783714</v>
      </c>
      <c r="J10" s="1"/>
      <c r="K10" s="1"/>
      <c r="L10" s="1"/>
      <c r="M10" s="1"/>
    </row>
    <row r="11" spans="1:13" ht="18.75" x14ac:dyDescent="0.35">
      <c r="A11" t="s">
        <v>11</v>
      </c>
      <c r="B11" s="7">
        <v>15.151200000000001</v>
      </c>
      <c r="C11" s="7">
        <v>15.151200000000001</v>
      </c>
      <c r="D11" s="7">
        <v>15.151200000000001</v>
      </c>
      <c r="E11" s="7">
        <v>15.151200000000001</v>
      </c>
      <c r="F11" s="7">
        <v>15.151200000000001</v>
      </c>
      <c r="G11" s="7">
        <v>15.151200000000001</v>
      </c>
      <c r="I11" s="6"/>
      <c r="J11" s="6"/>
      <c r="K11" s="6"/>
      <c r="L11" s="6"/>
      <c r="M11" s="6"/>
    </row>
    <row r="12" spans="1:13" ht="18" x14ac:dyDescent="0.35">
      <c r="A12" t="s">
        <v>12</v>
      </c>
      <c r="B12" s="7">
        <f>1/B17*B13*(B13/B14)^(2/3)*SQRT(B4)</f>
        <v>15.151183895401985</v>
      </c>
      <c r="C12" s="7">
        <f>1/C17*C13*(C13/C14)^(2/3)*SQRT(C4)</f>
        <v>15.151192209731461</v>
      </c>
      <c r="D12" s="7">
        <f>1/D17*D13*(D13/D14)^(2/3)*SQRT(D4)</f>
        <v>15.151187771490887</v>
      </c>
      <c r="E12" s="7">
        <f>1/E17*E13*(E13/E14)^(2/3)*SQRT(E4)</f>
        <v>15.151181175438737</v>
      </c>
      <c r="F12" s="7">
        <f>1/F17*F13*(F13/F14)^(2/3)*SQRT(F4)</f>
        <v>15.15118001466881</v>
      </c>
      <c r="G12" s="7">
        <f>1/G17*G13*(G13/G14)^(2/3)*SQRT(G4)</f>
        <v>15.151187939302138</v>
      </c>
      <c r="I12" s="1"/>
      <c r="J12" s="1"/>
      <c r="K12" s="1"/>
      <c r="L12" s="1"/>
      <c r="M12" s="1"/>
    </row>
    <row r="13" spans="1:13" x14ac:dyDescent="0.25">
      <c r="A13" t="s">
        <v>13</v>
      </c>
      <c r="B13" s="7">
        <f t="shared" ref="B13:G13" si="1">B16*B18</f>
        <v>7.1271091967112064</v>
      </c>
      <c r="C13" s="7">
        <f t="shared" si="1"/>
        <v>6.419828979346228</v>
      </c>
      <c r="D13" s="7">
        <f t="shared" si="1"/>
        <v>6.4475565193891402</v>
      </c>
      <c r="E13" s="7">
        <f t="shared" si="1"/>
        <v>8.3622158747448712</v>
      </c>
      <c r="F13" s="7">
        <f t="shared" si="1"/>
        <v>7.1222476090173901</v>
      </c>
      <c r="G13" s="7">
        <f t="shared" si="1"/>
        <v>6.5469891109505571</v>
      </c>
      <c r="I13" s="1"/>
      <c r="J13" s="1"/>
      <c r="K13" s="1"/>
      <c r="L13" s="1"/>
      <c r="M13" s="1"/>
    </row>
    <row r="14" spans="1:13" x14ac:dyDescent="0.25">
      <c r="A14" t="s">
        <v>14</v>
      </c>
      <c r="B14" s="7">
        <f t="shared" ref="B14:G14" si="2">2*B16+B18</f>
        <v>15.01815845667303</v>
      </c>
      <c r="C14" s="7">
        <f t="shared" si="2"/>
        <v>10.42662866207694</v>
      </c>
      <c r="D14" s="7">
        <f t="shared" si="2"/>
        <v>12.172283003525298</v>
      </c>
      <c r="E14" s="7">
        <f t="shared" si="2"/>
        <v>18.929135097193875</v>
      </c>
      <c r="F14" s="7">
        <f t="shared" si="2"/>
        <v>18.791360845446377</v>
      </c>
      <c r="G14" s="7">
        <f t="shared" si="2"/>
        <v>12.190361656536465</v>
      </c>
      <c r="I14" s="1"/>
      <c r="J14" s="1"/>
      <c r="K14" s="1"/>
      <c r="L14" s="1"/>
      <c r="M14" s="1"/>
    </row>
    <row r="15" spans="1:13" ht="18" x14ac:dyDescent="0.35">
      <c r="A15" t="s">
        <v>15</v>
      </c>
      <c r="B15" s="7">
        <f t="shared" ref="B15:G15" si="3">B11/B13</f>
        <v>2.1258548987844188</v>
      </c>
      <c r="C15" s="7">
        <f t="shared" si="3"/>
        <v>2.3600628690801893</v>
      </c>
      <c r="D15" s="7">
        <f t="shared" si="3"/>
        <v>2.3499134834161128</v>
      </c>
      <c r="E15" s="7">
        <f t="shared" si="3"/>
        <v>1.8118642506896845</v>
      </c>
      <c r="F15" s="7">
        <f t="shared" si="3"/>
        <v>2.1273059898700031</v>
      </c>
      <c r="G15" s="7">
        <f t="shared" si="3"/>
        <v>2.3142241025967123</v>
      </c>
    </row>
    <row r="16" spans="1:13" ht="18" x14ac:dyDescent="0.35">
      <c r="A16" t="s">
        <v>16</v>
      </c>
      <c r="B16" s="7">
        <v>0.50907922833651476</v>
      </c>
      <c r="C16" s="7">
        <v>0.71331433103846975</v>
      </c>
      <c r="D16" s="7">
        <v>0.58614150176264912</v>
      </c>
      <c r="E16" s="7">
        <v>0.46456754859693727</v>
      </c>
      <c r="F16" s="7">
        <v>0.39568042272318832</v>
      </c>
      <c r="G16" s="7">
        <v>0.59518082826823249</v>
      </c>
    </row>
    <row r="17" spans="1:7" x14ac:dyDescent="0.25">
      <c r="A17" t="s">
        <v>17</v>
      </c>
      <c r="B17">
        <v>3.3000000000000002E-2</v>
      </c>
      <c r="C17">
        <v>0.04</v>
      </c>
      <c r="D17">
        <v>3.3000000000000002E-2</v>
      </c>
      <c r="E17">
        <v>0.05</v>
      </c>
      <c r="F17">
        <v>4.4999999999999998E-2</v>
      </c>
      <c r="G17">
        <v>4.4999999999999998E-2</v>
      </c>
    </row>
    <row r="18" spans="1:7" x14ac:dyDescent="0.25">
      <c r="A18" t="s">
        <v>18</v>
      </c>
      <c r="B18">
        <v>14</v>
      </c>
      <c r="C18">
        <v>9</v>
      </c>
      <c r="D18">
        <v>11</v>
      </c>
      <c r="E18">
        <v>18</v>
      </c>
      <c r="F18">
        <v>18</v>
      </c>
      <c r="G18">
        <v>11</v>
      </c>
    </row>
    <row r="19" spans="1:7" x14ac:dyDescent="0.25">
      <c r="A19" s="8"/>
      <c r="B19" s="8"/>
      <c r="C19" s="8"/>
      <c r="D19" s="8"/>
      <c r="E19" s="8"/>
      <c r="F19" s="8"/>
      <c r="G19" s="8"/>
    </row>
    <row r="20" spans="1:7" x14ac:dyDescent="0.25">
      <c r="A20" s="9" t="s">
        <v>0</v>
      </c>
    </row>
    <row r="21" spans="1:7" x14ac:dyDescent="0.25">
      <c r="A21" t="s">
        <v>22</v>
      </c>
      <c r="B21" t="s">
        <v>23</v>
      </c>
      <c r="C21" t="s">
        <v>24</v>
      </c>
      <c r="D21" t="s">
        <v>25</v>
      </c>
      <c r="E21" t="s">
        <v>26</v>
      </c>
      <c r="F21" t="s">
        <v>27</v>
      </c>
      <c r="G21" t="s">
        <v>28</v>
      </c>
    </row>
    <row r="22" spans="1:7" x14ac:dyDescent="0.25">
      <c r="A22">
        <v>93</v>
      </c>
      <c r="B22" t="s">
        <v>29</v>
      </c>
      <c r="C22">
        <v>94</v>
      </c>
      <c r="D22">
        <v>1</v>
      </c>
      <c r="E22">
        <v>105</v>
      </c>
      <c r="F22">
        <v>101</v>
      </c>
      <c r="G22">
        <v>3023.6220294629502</v>
      </c>
    </row>
    <row r="23" spans="1:7" x14ac:dyDescent="0.25">
      <c r="A23" t="s">
        <v>30</v>
      </c>
      <c r="B23" t="s">
        <v>31</v>
      </c>
      <c r="C23" t="s">
        <v>32</v>
      </c>
    </row>
    <row r="24" spans="1:7" x14ac:dyDescent="0.25">
      <c r="B24">
        <v>0</v>
      </c>
      <c r="C24">
        <v>2795</v>
      </c>
    </row>
    <row r="25" spans="1:7" x14ac:dyDescent="0.25">
      <c r="B25">
        <v>300</v>
      </c>
      <c r="C25">
        <v>2720</v>
      </c>
    </row>
    <row r="26" spans="1:7" x14ac:dyDescent="0.25">
      <c r="B26">
        <v>500</v>
      </c>
      <c r="C26">
        <v>2720</v>
      </c>
    </row>
    <row r="27" spans="1:7" x14ac:dyDescent="0.25">
      <c r="B27">
        <v>500</v>
      </c>
      <c r="C27" s="7">
        <f>C26-B$16</f>
        <v>2719.4909207716637</v>
      </c>
    </row>
    <row r="28" spans="1:7" x14ac:dyDescent="0.25">
      <c r="B28">
        <f>B27+B$18</f>
        <v>514</v>
      </c>
      <c r="C28" s="7">
        <f>C27</f>
        <v>2719.4909207716637</v>
      </c>
    </row>
    <row r="29" spans="1:7" x14ac:dyDescent="0.25">
      <c r="B29">
        <f>B28</f>
        <v>514</v>
      </c>
      <c r="C29">
        <f>C26</f>
        <v>2720</v>
      </c>
    </row>
    <row r="30" spans="1:7" x14ac:dyDescent="0.25">
      <c r="B30">
        <v>725</v>
      </c>
      <c r="C30">
        <v>2720</v>
      </c>
    </row>
    <row r="31" spans="1:7" s="8" customFormat="1" x14ac:dyDescent="0.25">
      <c r="A31"/>
      <c r="B31">
        <v>950</v>
      </c>
      <c r="C31">
        <v>2780</v>
      </c>
      <c r="D31"/>
      <c r="E31"/>
      <c r="F31"/>
      <c r="G31"/>
    </row>
    <row r="32" spans="1:7" s="8" customFormat="1" x14ac:dyDescent="0.25">
      <c r="A32"/>
      <c r="B32"/>
      <c r="C32"/>
      <c r="D32"/>
      <c r="E32"/>
      <c r="F32"/>
      <c r="G32"/>
    </row>
    <row r="33" spans="1:9" x14ac:dyDescent="0.25">
      <c r="A33" s="9" t="s">
        <v>1</v>
      </c>
    </row>
    <row r="34" spans="1:9" x14ac:dyDescent="0.25">
      <c r="A34" t="s">
        <v>22</v>
      </c>
      <c r="B34" t="s">
        <v>23</v>
      </c>
      <c r="C34" t="s">
        <v>24</v>
      </c>
      <c r="D34" t="s">
        <v>25</v>
      </c>
      <c r="E34" t="s">
        <v>26</v>
      </c>
      <c r="F34" t="s">
        <v>27</v>
      </c>
      <c r="G34" t="s">
        <v>28</v>
      </c>
    </row>
    <row r="35" spans="1:9" x14ac:dyDescent="0.25">
      <c r="A35">
        <v>89</v>
      </c>
      <c r="B35" t="s">
        <v>29</v>
      </c>
      <c r="C35">
        <v>90</v>
      </c>
      <c r="D35">
        <v>1</v>
      </c>
      <c r="E35">
        <v>101</v>
      </c>
      <c r="F35">
        <v>103</v>
      </c>
      <c r="G35">
        <v>1101.06208887875</v>
      </c>
    </row>
    <row r="36" spans="1:9" x14ac:dyDescent="0.25">
      <c r="A36">
        <v>91</v>
      </c>
      <c r="B36" t="s">
        <v>29</v>
      </c>
      <c r="C36">
        <v>92</v>
      </c>
      <c r="D36">
        <v>1</v>
      </c>
      <c r="E36">
        <v>103</v>
      </c>
      <c r="F36">
        <v>94</v>
      </c>
      <c r="G36">
        <v>12000.2901860892</v>
      </c>
    </row>
    <row r="37" spans="1:9" x14ac:dyDescent="0.25">
      <c r="A37" t="s">
        <v>30</v>
      </c>
      <c r="B37" t="s">
        <v>31</v>
      </c>
      <c r="C37" t="s">
        <v>34</v>
      </c>
      <c r="D37" t="s">
        <v>35</v>
      </c>
      <c r="E37" t="s">
        <v>36</v>
      </c>
      <c r="F37" t="s">
        <v>37</v>
      </c>
      <c r="G37" t="s">
        <v>38</v>
      </c>
    </row>
    <row r="38" spans="1:9" x14ac:dyDescent="0.25">
      <c r="B38">
        <v>0</v>
      </c>
      <c r="C38">
        <v>2765</v>
      </c>
      <c r="D38">
        <v>0</v>
      </c>
      <c r="E38">
        <v>2592</v>
      </c>
      <c r="F38">
        <v>0</v>
      </c>
      <c r="G38">
        <v>2555</v>
      </c>
    </row>
    <row r="39" spans="1:9" x14ac:dyDescent="0.25">
      <c r="B39">
        <v>215</v>
      </c>
      <c r="C39">
        <v>2635</v>
      </c>
      <c r="D39">
        <v>200</v>
      </c>
      <c r="E39">
        <v>2555</v>
      </c>
      <c r="F39">
        <v>190</v>
      </c>
      <c r="G39">
        <v>2505</v>
      </c>
    </row>
    <row r="40" spans="1:9" x14ac:dyDescent="0.25">
      <c r="B40">
        <v>250</v>
      </c>
      <c r="C40">
        <v>2635</v>
      </c>
      <c r="D40">
        <v>300</v>
      </c>
      <c r="E40">
        <v>2555</v>
      </c>
      <c r="F40">
        <v>190</v>
      </c>
      <c r="G40">
        <v>2505</v>
      </c>
    </row>
    <row r="41" spans="1:9" x14ac:dyDescent="0.25">
      <c r="B41">
        <v>250</v>
      </c>
      <c r="C41" s="7">
        <f>C40-C$16</f>
        <v>2634.2866856689616</v>
      </c>
      <c r="D41">
        <f>D40</f>
        <v>300</v>
      </c>
      <c r="E41" s="7">
        <f>E40-C$16</f>
        <v>2554.2866856689616</v>
      </c>
      <c r="F41">
        <f>F40</f>
        <v>190</v>
      </c>
      <c r="G41" s="7">
        <f>G40-C$16</f>
        <v>2504.2866856689616</v>
      </c>
    </row>
    <row r="42" spans="1:9" x14ac:dyDescent="0.25">
      <c r="B42">
        <f>B41+C$18</f>
        <v>259</v>
      </c>
      <c r="C42" s="7">
        <f>C41</f>
        <v>2634.2866856689616</v>
      </c>
      <c r="D42">
        <f>D41+C$18</f>
        <v>309</v>
      </c>
      <c r="E42" s="7">
        <f>E41</f>
        <v>2554.2866856689616</v>
      </c>
      <c r="F42">
        <f>F41+C$18</f>
        <v>199</v>
      </c>
      <c r="G42" s="7">
        <f>G41</f>
        <v>2504.2866856689616</v>
      </c>
    </row>
    <row r="43" spans="1:9" x14ac:dyDescent="0.25">
      <c r="B43">
        <f>B42</f>
        <v>259</v>
      </c>
      <c r="C43">
        <f>C40</f>
        <v>2635</v>
      </c>
      <c r="D43">
        <f>D42</f>
        <v>309</v>
      </c>
      <c r="E43">
        <f>E40</f>
        <v>2555</v>
      </c>
      <c r="F43">
        <f>F42</f>
        <v>199</v>
      </c>
      <c r="G43">
        <f>G40</f>
        <v>2505</v>
      </c>
    </row>
    <row r="44" spans="1:9" x14ac:dyDescent="0.25">
      <c r="B44">
        <v>335</v>
      </c>
      <c r="C44">
        <v>2646</v>
      </c>
      <c r="D44">
        <v>400</v>
      </c>
      <c r="E44">
        <v>2558</v>
      </c>
      <c r="F44">
        <v>245</v>
      </c>
      <c r="G44">
        <v>2505</v>
      </c>
    </row>
    <row r="45" spans="1:9" x14ac:dyDescent="0.25">
      <c r="B45">
        <v>550</v>
      </c>
      <c r="C45">
        <v>2740</v>
      </c>
      <c r="D45">
        <v>600</v>
      </c>
      <c r="E45">
        <v>2617</v>
      </c>
      <c r="F45">
        <v>390</v>
      </c>
      <c r="G45">
        <v>2570</v>
      </c>
    </row>
    <row r="46" spans="1:9" x14ac:dyDescent="0.25">
      <c r="A46" s="9" t="s">
        <v>2</v>
      </c>
    </row>
    <row r="47" spans="1:9" x14ac:dyDescent="0.25">
      <c r="A47" t="s">
        <v>22</v>
      </c>
      <c r="B47" t="s">
        <v>23</v>
      </c>
      <c r="C47" t="s">
        <v>24</v>
      </c>
      <c r="D47" t="s">
        <v>25</v>
      </c>
      <c r="E47" t="s">
        <v>26</v>
      </c>
      <c r="F47" t="s">
        <v>27</v>
      </c>
      <c r="G47" t="s">
        <v>28</v>
      </c>
      <c r="I47" t="s">
        <v>33</v>
      </c>
    </row>
    <row r="48" spans="1:9" x14ac:dyDescent="0.25">
      <c r="A48">
        <v>83</v>
      </c>
      <c r="B48" t="s">
        <v>29</v>
      </c>
      <c r="C48">
        <v>84</v>
      </c>
      <c r="D48">
        <v>1</v>
      </c>
      <c r="E48">
        <v>87</v>
      </c>
      <c r="F48">
        <v>94</v>
      </c>
      <c r="G48">
        <v>684.18119041056696</v>
      </c>
    </row>
    <row r="49" spans="1:7" x14ac:dyDescent="0.25">
      <c r="A49" t="s">
        <v>30</v>
      </c>
      <c r="B49" t="s">
        <v>31</v>
      </c>
      <c r="C49" t="s">
        <v>34</v>
      </c>
    </row>
    <row r="50" spans="1:7" x14ac:dyDescent="0.25">
      <c r="B50">
        <v>0</v>
      </c>
      <c r="C50">
        <v>2510</v>
      </c>
    </row>
    <row r="51" spans="1:7" x14ac:dyDescent="0.25">
      <c r="B51">
        <v>110</v>
      </c>
      <c r="C51">
        <v>2469</v>
      </c>
    </row>
    <row r="52" spans="1:7" x14ac:dyDescent="0.25">
      <c r="B52">
        <v>170</v>
      </c>
      <c r="C52">
        <v>2469</v>
      </c>
    </row>
    <row r="53" spans="1:7" x14ac:dyDescent="0.25">
      <c r="B53">
        <v>170</v>
      </c>
      <c r="C53" s="7">
        <f>C52-D$16</f>
        <v>2468.4138584982375</v>
      </c>
    </row>
    <row r="54" spans="1:7" x14ac:dyDescent="0.25">
      <c r="B54">
        <f>B53+D$18</f>
        <v>181</v>
      </c>
      <c r="C54" s="7">
        <f>C53</f>
        <v>2468.4138584982375</v>
      </c>
    </row>
    <row r="55" spans="1:7" x14ac:dyDescent="0.25">
      <c r="B55">
        <f>B54</f>
        <v>181</v>
      </c>
      <c r="C55">
        <f>C52</f>
        <v>2469</v>
      </c>
    </row>
    <row r="56" spans="1:7" x14ac:dyDescent="0.25">
      <c r="B56">
        <v>240</v>
      </c>
      <c r="C56">
        <v>2475</v>
      </c>
    </row>
    <row r="57" spans="1:7" x14ac:dyDescent="0.25">
      <c r="B57">
        <v>340</v>
      </c>
      <c r="C57">
        <v>2525</v>
      </c>
    </row>
    <row r="58" spans="1:7" x14ac:dyDescent="0.25">
      <c r="A58" s="9" t="s">
        <v>3</v>
      </c>
    </row>
    <row r="59" spans="1:7" x14ac:dyDescent="0.25">
      <c r="A59" t="s">
        <v>22</v>
      </c>
      <c r="B59" t="s">
        <v>23</v>
      </c>
      <c r="C59" t="s">
        <v>24</v>
      </c>
      <c r="D59" t="s">
        <v>25</v>
      </c>
      <c r="E59" t="s">
        <v>26</v>
      </c>
      <c r="F59" t="s">
        <v>27</v>
      </c>
      <c r="G59" t="s">
        <v>28</v>
      </c>
    </row>
    <row r="60" spans="1:7" x14ac:dyDescent="0.25">
      <c r="A60">
        <v>82</v>
      </c>
      <c r="B60" t="s">
        <v>29</v>
      </c>
      <c r="C60">
        <v>83</v>
      </c>
      <c r="D60">
        <v>1</v>
      </c>
      <c r="E60">
        <v>87</v>
      </c>
      <c r="F60">
        <v>73</v>
      </c>
      <c r="G60">
        <v>11712.386781478101</v>
      </c>
    </row>
    <row r="61" spans="1:7" x14ac:dyDescent="0.25">
      <c r="B61" t="s">
        <v>31</v>
      </c>
      <c r="C61" t="s">
        <v>34</v>
      </c>
    </row>
    <row r="62" spans="1:7" x14ac:dyDescent="0.25">
      <c r="B62">
        <v>0</v>
      </c>
      <c r="C62">
        <v>2435</v>
      </c>
    </row>
    <row r="63" spans="1:7" x14ac:dyDescent="0.25">
      <c r="B63">
        <v>220</v>
      </c>
      <c r="C63">
        <v>2325</v>
      </c>
    </row>
    <row r="64" spans="1:7" x14ac:dyDescent="0.25">
      <c r="B64">
        <v>255</v>
      </c>
      <c r="C64">
        <v>2285</v>
      </c>
    </row>
    <row r="65" spans="1:20" x14ac:dyDescent="0.25">
      <c r="B65">
        <v>255</v>
      </c>
      <c r="C65" s="7">
        <f>C64-E$16</f>
        <v>2284.5354324514033</v>
      </c>
    </row>
    <row r="66" spans="1:20" x14ac:dyDescent="0.25">
      <c r="B66">
        <f>B65+E$18</f>
        <v>273</v>
      </c>
      <c r="C66" s="7">
        <f>C65</f>
        <v>2284.5354324514033</v>
      </c>
    </row>
    <row r="67" spans="1:20" x14ac:dyDescent="0.25">
      <c r="B67">
        <f>B66</f>
        <v>273</v>
      </c>
      <c r="C67">
        <f>C64</f>
        <v>2285</v>
      </c>
    </row>
    <row r="68" spans="1:20" x14ac:dyDescent="0.25">
      <c r="B68">
        <v>305</v>
      </c>
      <c r="C68">
        <v>2305</v>
      </c>
    </row>
    <row r="69" spans="1:20" x14ac:dyDescent="0.25">
      <c r="B69">
        <v>410</v>
      </c>
      <c r="C69">
        <v>2400</v>
      </c>
    </row>
    <row r="70" spans="1:20" x14ac:dyDescent="0.25">
      <c r="A70" s="9" t="s">
        <v>4</v>
      </c>
    </row>
    <row r="71" spans="1:20" x14ac:dyDescent="0.25">
      <c r="A71" t="s">
        <v>22</v>
      </c>
      <c r="B71" t="s">
        <v>23</v>
      </c>
      <c r="C71" t="s">
        <v>24</v>
      </c>
      <c r="D71" t="s">
        <v>25</v>
      </c>
      <c r="E71" t="s">
        <v>26</v>
      </c>
      <c r="F71" t="s">
        <v>27</v>
      </c>
      <c r="G71" t="s">
        <v>28</v>
      </c>
      <c r="T71" s="5"/>
    </row>
    <row r="72" spans="1:20" x14ac:dyDescent="0.25">
      <c r="A72">
        <v>79</v>
      </c>
      <c r="B72" t="s">
        <v>29</v>
      </c>
      <c r="C72">
        <v>80</v>
      </c>
      <c r="D72">
        <v>1</v>
      </c>
      <c r="E72">
        <v>73</v>
      </c>
      <c r="F72">
        <v>92</v>
      </c>
      <c r="G72">
        <v>11540.6233094698</v>
      </c>
      <c r="T72" s="5"/>
    </row>
    <row r="73" spans="1:20" x14ac:dyDescent="0.25">
      <c r="B73">
        <v>0</v>
      </c>
      <c r="C73">
        <v>2960</v>
      </c>
    </row>
    <row r="74" spans="1:20" x14ac:dyDescent="0.25">
      <c r="B74">
        <v>350</v>
      </c>
      <c r="C74">
        <v>2775</v>
      </c>
    </row>
    <row r="75" spans="1:20" x14ac:dyDescent="0.25">
      <c r="B75">
        <v>400</v>
      </c>
      <c r="C75">
        <v>2772</v>
      </c>
    </row>
    <row r="76" spans="1:20" x14ac:dyDescent="0.25">
      <c r="B76">
        <v>400</v>
      </c>
      <c r="C76" s="7">
        <f>C75-F$16</f>
        <v>2771.6043195772768</v>
      </c>
    </row>
    <row r="77" spans="1:20" x14ac:dyDescent="0.25">
      <c r="B77">
        <f>B76+F$18</f>
        <v>418</v>
      </c>
      <c r="C77" s="7">
        <f>C76</f>
        <v>2771.6043195772768</v>
      </c>
    </row>
    <row r="78" spans="1:20" x14ac:dyDescent="0.25">
      <c r="B78">
        <f>B77</f>
        <v>418</v>
      </c>
      <c r="C78">
        <f>C75</f>
        <v>2772</v>
      </c>
    </row>
    <row r="79" spans="1:20" x14ac:dyDescent="0.25">
      <c r="B79">
        <v>450</v>
      </c>
      <c r="C79">
        <v>2775</v>
      </c>
    </row>
    <row r="80" spans="1:20" x14ac:dyDescent="0.25">
      <c r="B80">
        <v>750</v>
      </c>
      <c r="C80">
        <v>2882</v>
      </c>
    </row>
    <row r="81" spans="1:3" x14ac:dyDescent="0.25">
      <c r="A81" s="9" t="s">
        <v>5</v>
      </c>
    </row>
    <row r="83" spans="1:3" x14ac:dyDescent="0.25">
      <c r="B83">
        <v>0</v>
      </c>
      <c r="C83">
        <v>2758</v>
      </c>
    </row>
    <row r="84" spans="1:3" x14ac:dyDescent="0.25">
      <c r="B84">
        <v>115</v>
      </c>
      <c r="C84">
        <v>2720</v>
      </c>
    </row>
    <row r="85" spans="1:3" x14ac:dyDescent="0.25">
      <c r="B85">
        <v>450</v>
      </c>
      <c r="C85">
        <v>2715</v>
      </c>
    </row>
    <row r="86" spans="1:3" x14ac:dyDescent="0.25">
      <c r="B86">
        <v>450</v>
      </c>
      <c r="C86" s="7">
        <f>C85-G$16</f>
        <v>2714.4048191717316</v>
      </c>
    </row>
    <row r="87" spans="1:3" x14ac:dyDescent="0.25">
      <c r="B87">
        <f>B86+G$18</f>
        <v>461</v>
      </c>
      <c r="C87" s="7">
        <f>C86</f>
        <v>2714.4048191717316</v>
      </c>
    </row>
    <row r="88" spans="1:3" x14ac:dyDescent="0.25">
      <c r="B88">
        <f>B87</f>
        <v>461</v>
      </c>
      <c r="C88">
        <f>C85</f>
        <v>2715</v>
      </c>
    </row>
    <row r="89" spans="1:3" x14ac:dyDescent="0.25">
      <c r="B89">
        <v>750</v>
      </c>
      <c r="C89">
        <v>2720</v>
      </c>
    </row>
    <row r="90" spans="1:3" x14ac:dyDescent="0.25">
      <c r="B90">
        <v>850</v>
      </c>
      <c r="C90">
        <v>2745</v>
      </c>
    </row>
    <row r="92" spans="1:3" x14ac:dyDescent="0.25">
      <c r="A92" t="s">
        <v>44</v>
      </c>
    </row>
    <row r="107" spans="15:16" x14ac:dyDescent="0.25">
      <c r="O107" t="s">
        <v>39</v>
      </c>
      <c r="P107">
        <v>35</v>
      </c>
    </row>
    <row r="108" spans="15:16" x14ac:dyDescent="0.25">
      <c r="O108" t="s">
        <v>40</v>
      </c>
      <c r="P108">
        <v>35</v>
      </c>
    </row>
    <row r="142" spans="15:16" x14ac:dyDescent="0.25">
      <c r="O142" t="s">
        <v>39</v>
      </c>
      <c r="P142">
        <v>6.5</v>
      </c>
    </row>
    <row r="143" spans="15:16" x14ac:dyDescent="0.25">
      <c r="O143" t="s">
        <v>40</v>
      </c>
      <c r="P143">
        <v>6</v>
      </c>
    </row>
    <row r="201" spans="15:16" x14ac:dyDescent="0.25">
      <c r="O201" t="s">
        <v>39</v>
      </c>
      <c r="P201">
        <v>5.75</v>
      </c>
    </row>
    <row r="202" spans="15:16" x14ac:dyDescent="0.25">
      <c r="O202" t="s">
        <v>40</v>
      </c>
      <c r="P202">
        <v>22.5</v>
      </c>
    </row>
    <row r="229" spans="15:16" x14ac:dyDescent="0.25">
      <c r="O229" t="s">
        <v>39</v>
      </c>
      <c r="P229">
        <v>8.5</v>
      </c>
    </row>
    <row r="230" spans="15:16" x14ac:dyDescent="0.25">
      <c r="O230" t="s">
        <v>40</v>
      </c>
      <c r="P230">
        <v>5</v>
      </c>
    </row>
    <row r="259" spans="15:16" x14ac:dyDescent="0.25">
      <c r="O259" t="s">
        <v>39</v>
      </c>
      <c r="P259">
        <v>3.5</v>
      </c>
    </row>
    <row r="260" spans="15:16" x14ac:dyDescent="0.25">
      <c r="O260" t="s">
        <v>40</v>
      </c>
      <c r="P260">
        <v>6</v>
      </c>
    </row>
    <row r="290" spans="15:16" x14ac:dyDescent="0.25">
      <c r="O290" t="s">
        <v>39</v>
      </c>
      <c r="P290">
        <v>4</v>
      </c>
    </row>
    <row r="291" spans="15:16" x14ac:dyDescent="0.25">
      <c r="O291" t="s">
        <v>41</v>
      </c>
      <c r="P291">
        <v>4.5</v>
      </c>
    </row>
    <row r="322" spans="15:16" x14ac:dyDescent="0.25">
      <c r="O322" t="s">
        <v>42</v>
      </c>
      <c r="P322">
        <v>9.5</v>
      </c>
    </row>
    <row r="323" spans="15:16" x14ac:dyDescent="0.25">
      <c r="O323" t="s">
        <v>43</v>
      </c>
      <c r="P323">
        <v>3.5</v>
      </c>
    </row>
    <row r="358" spans="15:16" x14ac:dyDescent="0.25">
      <c r="O358" t="s">
        <v>42</v>
      </c>
      <c r="P358">
        <v>2</v>
      </c>
    </row>
    <row r="359" spans="15:16" x14ac:dyDescent="0.25">
      <c r="O359" t="s">
        <v>43</v>
      </c>
      <c r="P359">
        <v>1.5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Woolridge, Douglas,</dc:creator>
  <cp:lastModifiedBy>Woolridge, Douglas,</cp:lastModifiedBy>
  <dcterms:created xsi:type="dcterms:W3CDTF">2019-09-13T18:33:29Z</dcterms:created>
  <dcterms:modified xsi:type="dcterms:W3CDTF">2019-09-13T18:53:46Z</dcterms:modified>
</cp:coreProperties>
</file>