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5605" windowHeight="15465"/>
  </bookViews>
  <sheets>
    <sheet name="GUI" sheetId="5" r:id="rId1"/>
    <sheet name="BASE" sheetId="4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5" l="1"/>
  <c r="O6" i="5"/>
  <c r="O7" i="5"/>
  <c r="O11" i="5"/>
  <c r="O4" i="5"/>
  <c r="J6" i="5"/>
  <c r="K6" i="5"/>
  <c r="J7" i="5"/>
  <c r="K7" i="5"/>
  <c r="J8" i="5"/>
  <c r="K8" i="5"/>
  <c r="J9" i="5"/>
  <c r="K9" i="5"/>
  <c r="O9" i="5"/>
  <c r="J10" i="5"/>
  <c r="K10" i="5"/>
  <c r="O10" i="5"/>
  <c r="G6" i="4"/>
  <c r="F6" i="4"/>
  <c r="X32" i="4"/>
  <c r="W32" i="4"/>
  <c r="I10" i="5"/>
  <c r="W31" i="4"/>
  <c r="I9" i="5"/>
  <c r="X30" i="4"/>
  <c r="Y29" i="4"/>
  <c r="X29" i="4"/>
  <c r="W28" i="4"/>
  <c r="I6" i="5"/>
  <c r="Y32" i="4"/>
  <c r="Y31" i="4"/>
  <c r="Y30" i="4"/>
  <c r="W30" i="4"/>
  <c r="I8" i="5"/>
  <c r="W29" i="4"/>
  <c r="I7" i="5"/>
  <c r="X28" i="4"/>
  <c r="R57" i="4"/>
  <c r="R56" i="4"/>
  <c r="R55" i="4"/>
  <c r="R54" i="4"/>
  <c r="R53" i="4"/>
  <c r="Q62" i="4"/>
  <c r="K17" i="5"/>
  <c r="K18" i="5"/>
  <c r="K19" i="5"/>
  <c r="K20" i="5"/>
  <c r="Q64" i="4"/>
  <c r="T64" i="4"/>
  <c r="Q63" i="4"/>
  <c r="T63" i="4"/>
  <c r="T62" i="4"/>
  <c r="E17" i="5"/>
  <c r="H17" i="5"/>
  <c r="Q65" i="4"/>
  <c r="Q66" i="4"/>
  <c r="C36" i="4"/>
  <c r="G36" i="4"/>
  <c r="G189" i="4"/>
  <c r="G188" i="4"/>
  <c r="G151" i="4"/>
  <c r="G150" i="4"/>
  <c r="G112" i="4"/>
  <c r="G111" i="4"/>
  <c r="G73" i="4"/>
  <c r="G72" i="4"/>
  <c r="G34" i="4"/>
  <c r="G35" i="4"/>
  <c r="K21" i="5"/>
  <c r="C74" i="4"/>
  <c r="G74" i="4"/>
  <c r="E19" i="5"/>
  <c r="H19" i="5"/>
  <c r="C113" i="4"/>
  <c r="G113" i="4"/>
  <c r="E18" i="5"/>
  <c r="H18" i="5"/>
  <c r="C190" i="4"/>
  <c r="G190" i="4"/>
  <c r="E21" i="5"/>
  <c r="H21" i="5"/>
  <c r="T65" i="4"/>
  <c r="E20" i="5"/>
  <c r="H20" i="5"/>
  <c r="C152" i="4"/>
  <c r="G152" i="4"/>
  <c r="T66" i="4"/>
  <c r="G5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C160" i="4"/>
  <c r="E160" i="4"/>
  <c r="F160" i="4"/>
  <c r="C161" i="4"/>
  <c r="E161" i="4"/>
  <c r="F161" i="4"/>
  <c r="C162" i="4"/>
  <c r="E162" i="4"/>
  <c r="F162" i="4"/>
  <c r="C163" i="4"/>
  <c r="E163" i="4"/>
  <c r="F163" i="4"/>
  <c r="C164" i="4"/>
  <c r="E164" i="4"/>
  <c r="F164" i="4"/>
  <c r="C165" i="4"/>
  <c r="E165" i="4"/>
  <c r="F165" i="4"/>
  <c r="C166" i="4"/>
  <c r="E166" i="4"/>
  <c r="F166" i="4"/>
  <c r="C167" i="4"/>
  <c r="E167" i="4"/>
  <c r="F167" i="4"/>
  <c r="C168" i="4"/>
  <c r="E168" i="4"/>
  <c r="F168" i="4"/>
  <c r="C169" i="4"/>
  <c r="E169" i="4"/>
  <c r="F169" i="4"/>
  <c r="C170" i="4"/>
  <c r="E170" i="4"/>
  <c r="F170" i="4"/>
  <c r="C171" i="4"/>
  <c r="E171" i="4"/>
  <c r="F171" i="4"/>
  <c r="C172" i="4"/>
  <c r="E172" i="4"/>
  <c r="F172" i="4"/>
  <c r="C173" i="4"/>
  <c r="E173" i="4"/>
  <c r="F173" i="4"/>
  <c r="C174" i="4"/>
  <c r="E174" i="4"/>
  <c r="F174" i="4"/>
  <c r="C175" i="4"/>
  <c r="E175" i="4"/>
  <c r="F175" i="4"/>
  <c r="C176" i="4"/>
  <c r="E176" i="4"/>
  <c r="F176" i="4"/>
  <c r="C177" i="4"/>
  <c r="E177" i="4"/>
  <c r="F177" i="4"/>
  <c r="C178" i="4"/>
  <c r="E178" i="4"/>
  <c r="F178" i="4"/>
  <c r="C179" i="4"/>
  <c r="E179" i="4"/>
  <c r="F179" i="4"/>
  <c r="C180" i="4"/>
  <c r="E180" i="4"/>
  <c r="F180" i="4"/>
  <c r="C181" i="4"/>
  <c r="E181" i="4"/>
  <c r="F181" i="4"/>
  <c r="C182" i="4"/>
  <c r="E182" i="4"/>
  <c r="F182" i="4"/>
  <c r="C183" i="4"/>
  <c r="E183" i="4"/>
  <c r="F183" i="4"/>
  <c r="C184" i="4"/>
  <c r="E184" i="4"/>
  <c r="F184" i="4"/>
  <c r="C185" i="4"/>
  <c r="E185" i="4"/>
  <c r="F185" i="4"/>
  <c r="C186" i="4"/>
  <c r="C187" i="4"/>
  <c r="E187" i="4"/>
  <c r="F187" i="4"/>
  <c r="C159" i="4"/>
  <c r="E159" i="4"/>
  <c r="F159" i="4"/>
  <c r="C122" i="4"/>
  <c r="E122" i="4"/>
  <c r="F122" i="4"/>
  <c r="C123" i="4"/>
  <c r="E123" i="4"/>
  <c r="F123" i="4"/>
  <c r="C124" i="4"/>
  <c r="E124" i="4"/>
  <c r="F124" i="4"/>
  <c r="C125" i="4"/>
  <c r="E125" i="4"/>
  <c r="F125" i="4"/>
  <c r="C126" i="4"/>
  <c r="E126" i="4"/>
  <c r="F126" i="4"/>
  <c r="C127" i="4"/>
  <c r="E127" i="4"/>
  <c r="F127" i="4"/>
  <c r="C128" i="4"/>
  <c r="E128" i="4"/>
  <c r="F128" i="4"/>
  <c r="C129" i="4"/>
  <c r="E129" i="4"/>
  <c r="F129" i="4"/>
  <c r="C130" i="4"/>
  <c r="E130" i="4"/>
  <c r="F130" i="4"/>
  <c r="C131" i="4"/>
  <c r="E131" i="4"/>
  <c r="F131" i="4"/>
  <c r="C132" i="4"/>
  <c r="E132" i="4"/>
  <c r="F132" i="4"/>
  <c r="C133" i="4"/>
  <c r="E133" i="4"/>
  <c r="F133" i="4"/>
  <c r="C134" i="4"/>
  <c r="E134" i="4"/>
  <c r="F134" i="4"/>
  <c r="C135" i="4"/>
  <c r="E135" i="4"/>
  <c r="F135" i="4"/>
  <c r="C136" i="4"/>
  <c r="E136" i="4"/>
  <c r="F136" i="4"/>
  <c r="C137" i="4"/>
  <c r="E137" i="4"/>
  <c r="F137" i="4"/>
  <c r="C138" i="4"/>
  <c r="E138" i="4"/>
  <c r="F138" i="4"/>
  <c r="C139" i="4"/>
  <c r="E139" i="4"/>
  <c r="F139" i="4"/>
  <c r="C140" i="4"/>
  <c r="E140" i="4"/>
  <c r="F140" i="4"/>
  <c r="C141" i="4"/>
  <c r="E141" i="4"/>
  <c r="F141" i="4"/>
  <c r="C142" i="4"/>
  <c r="E142" i="4"/>
  <c r="F142" i="4"/>
  <c r="C143" i="4"/>
  <c r="E143" i="4"/>
  <c r="F143" i="4"/>
  <c r="C144" i="4"/>
  <c r="E144" i="4"/>
  <c r="F144" i="4"/>
  <c r="C145" i="4"/>
  <c r="E145" i="4"/>
  <c r="F145" i="4"/>
  <c r="C146" i="4"/>
  <c r="E146" i="4"/>
  <c r="F146" i="4"/>
  <c r="C147" i="4"/>
  <c r="E147" i="4"/>
  <c r="F147" i="4"/>
  <c r="C148" i="4"/>
  <c r="E148" i="4"/>
  <c r="F148" i="4"/>
  <c r="C149" i="4"/>
  <c r="E149" i="4"/>
  <c r="F149" i="4"/>
  <c r="C121" i="4"/>
  <c r="E121" i="4"/>
  <c r="F121" i="4"/>
  <c r="C83" i="4"/>
  <c r="E83" i="4"/>
  <c r="F83" i="4"/>
  <c r="C84" i="4"/>
  <c r="E84" i="4"/>
  <c r="F84" i="4"/>
  <c r="C85" i="4"/>
  <c r="E85" i="4"/>
  <c r="F85" i="4"/>
  <c r="C86" i="4"/>
  <c r="E86" i="4"/>
  <c r="F86" i="4"/>
  <c r="C87" i="4"/>
  <c r="C88" i="4"/>
  <c r="E88" i="4"/>
  <c r="F88" i="4"/>
  <c r="C89" i="4"/>
  <c r="E89" i="4"/>
  <c r="F89" i="4"/>
  <c r="C90" i="4"/>
  <c r="E90" i="4"/>
  <c r="F90" i="4"/>
  <c r="C91" i="4"/>
  <c r="E91" i="4"/>
  <c r="F91" i="4"/>
  <c r="C92" i="4"/>
  <c r="E92" i="4"/>
  <c r="F92" i="4"/>
  <c r="C93" i="4"/>
  <c r="E93" i="4"/>
  <c r="F93" i="4"/>
  <c r="C94" i="4"/>
  <c r="E94" i="4"/>
  <c r="F94" i="4"/>
  <c r="C95" i="4"/>
  <c r="E95" i="4"/>
  <c r="F95" i="4"/>
  <c r="C96" i="4"/>
  <c r="E96" i="4"/>
  <c r="F96" i="4"/>
  <c r="C97" i="4"/>
  <c r="E97" i="4"/>
  <c r="F97" i="4"/>
  <c r="C98" i="4"/>
  <c r="E98" i="4"/>
  <c r="F98" i="4"/>
  <c r="C99" i="4"/>
  <c r="E99" i="4"/>
  <c r="F99" i="4"/>
  <c r="C100" i="4"/>
  <c r="E100" i="4"/>
  <c r="F100" i="4"/>
  <c r="C101" i="4"/>
  <c r="E101" i="4"/>
  <c r="F101" i="4"/>
  <c r="C102" i="4"/>
  <c r="E102" i="4"/>
  <c r="F102" i="4"/>
  <c r="C103" i="4"/>
  <c r="E103" i="4"/>
  <c r="F103" i="4"/>
  <c r="C104" i="4"/>
  <c r="E104" i="4"/>
  <c r="F104" i="4"/>
  <c r="C105" i="4"/>
  <c r="E105" i="4"/>
  <c r="F105" i="4"/>
  <c r="C106" i="4"/>
  <c r="E106" i="4"/>
  <c r="F106" i="4"/>
  <c r="C107" i="4"/>
  <c r="E107" i="4"/>
  <c r="F107" i="4"/>
  <c r="C108" i="4"/>
  <c r="E108" i="4"/>
  <c r="F108" i="4"/>
  <c r="C109" i="4"/>
  <c r="E109" i="4"/>
  <c r="F109" i="4"/>
  <c r="C110" i="4"/>
  <c r="E110" i="4"/>
  <c r="F110" i="4"/>
  <c r="C82" i="4"/>
  <c r="E82" i="4"/>
  <c r="F82" i="4"/>
  <c r="C44" i="4"/>
  <c r="E44" i="4"/>
  <c r="F44" i="4"/>
  <c r="C45" i="4"/>
  <c r="E45" i="4"/>
  <c r="F45" i="4"/>
  <c r="C46" i="4"/>
  <c r="E46" i="4"/>
  <c r="F46" i="4"/>
  <c r="C47" i="4"/>
  <c r="E47" i="4"/>
  <c r="F47" i="4"/>
  <c r="C48" i="4"/>
  <c r="E48" i="4"/>
  <c r="F48" i="4"/>
  <c r="C49" i="4"/>
  <c r="E49" i="4"/>
  <c r="F49" i="4"/>
  <c r="C50" i="4"/>
  <c r="E50" i="4"/>
  <c r="F50" i="4"/>
  <c r="C51" i="4"/>
  <c r="E51" i="4"/>
  <c r="F51" i="4"/>
  <c r="C52" i="4"/>
  <c r="E52" i="4"/>
  <c r="F52" i="4"/>
  <c r="C53" i="4"/>
  <c r="E53" i="4"/>
  <c r="F53" i="4"/>
  <c r="C54" i="4"/>
  <c r="E54" i="4"/>
  <c r="F54" i="4"/>
  <c r="C55" i="4"/>
  <c r="E55" i="4"/>
  <c r="F55" i="4"/>
  <c r="C56" i="4"/>
  <c r="E56" i="4"/>
  <c r="F56" i="4"/>
  <c r="C57" i="4"/>
  <c r="E57" i="4"/>
  <c r="F57" i="4"/>
  <c r="C58" i="4"/>
  <c r="E58" i="4"/>
  <c r="F58" i="4"/>
  <c r="C59" i="4"/>
  <c r="E59" i="4"/>
  <c r="F59" i="4"/>
  <c r="C60" i="4"/>
  <c r="E60" i="4"/>
  <c r="F60" i="4"/>
  <c r="C61" i="4"/>
  <c r="E61" i="4"/>
  <c r="F61" i="4"/>
  <c r="C62" i="4"/>
  <c r="E62" i="4"/>
  <c r="F62" i="4"/>
  <c r="C63" i="4"/>
  <c r="E63" i="4"/>
  <c r="F63" i="4"/>
  <c r="C64" i="4"/>
  <c r="E64" i="4"/>
  <c r="F64" i="4"/>
  <c r="C65" i="4"/>
  <c r="E65" i="4"/>
  <c r="F65" i="4"/>
  <c r="C66" i="4"/>
  <c r="E66" i="4"/>
  <c r="F66" i="4"/>
  <c r="C67" i="4"/>
  <c r="E67" i="4"/>
  <c r="F67" i="4"/>
  <c r="C68" i="4"/>
  <c r="E68" i="4"/>
  <c r="F68" i="4"/>
  <c r="C69" i="4"/>
  <c r="E69" i="4"/>
  <c r="F69" i="4"/>
  <c r="C70" i="4"/>
  <c r="E70" i="4"/>
  <c r="F70" i="4"/>
  <c r="C71" i="4"/>
  <c r="E71" i="4"/>
  <c r="F71" i="4"/>
  <c r="C43" i="4"/>
  <c r="E43" i="4"/>
  <c r="F43" i="4"/>
  <c r="G187" i="4"/>
  <c r="G186" i="4"/>
  <c r="E186" i="4"/>
  <c r="F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E87" i="4"/>
  <c r="F87" i="4"/>
  <c r="G86" i="4"/>
  <c r="G85" i="4"/>
  <c r="G84" i="4"/>
  <c r="G83" i="4"/>
  <c r="G8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E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5" i="4"/>
  <c r="F5" i="4"/>
  <c r="G114" i="4"/>
  <c r="G37" i="4"/>
  <c r="I37" i="4"/>
  <c r="K37" i="4"/>
  <c r="I191" i="4"/>
  <c r="K191" i="4"/>
  <c r="G191" i="4"/>
  <c r="I114" i="4"/>
  <c r="K114" i="4"/>
  <c r="I153" i="4"/>
  <c r="K153" i="4"/>
  <c r="G153" i="4"/>
  <c r="I75" i="4"/>
  <c r="K75" i="4"/>
  <c r="G75" i="4"/>
  <c r="I190" i="4"/>
  <c r="K190" i="4"/>
  <c r="R66" i="4"/>
  <c r="H190" i="4"/>
  <c r="J190" i="4"/>
  <c r="S66" i="4"/>
  <c r="I152" i="4"/>
  <c r="K152" i="4"/>
  <c r="R65" i="4"/>
  <c r="H152" i="4"/>
  <c r="J152" i="4"/>
  <c r="S65" i="4"/>
  <c r="H113" i="4"/>
  <c r="J113" i="4"/>
  <c r="S64" i="4"/>
  <c r="I113" i="4"/>
  <c r="K113" i="4"/>
  <c r="R64" i="4"/>
  <c r="H74" i="4"/>
  <c r="J74" i="4"/>
  <c r="S63" i="4"/>
  <c r="I74" i="4"/>
  <c r="K74" i="4"/>
  <c r="R63" i="4"/>
  <c r="I36" i="4"/>
  <c r="K36" i="4"/>
  <c r="R62" i="4"/>
  <c r="H36" i="4"/>
  <c r="J36" i="4"/>
  <c r="S62" i="4"/>
  <c r="H150" i="4"/>
  <c r="J150" i="4"/>
  <c r="I150" i="4"/>
  <c r="K150" i="4"/>
  <c r="H151" i="4"/>
  <c r="J151" i="4"/>
  <c r="I151" i="4"/>
  <c r="K151" i="4"/>
  <c r="I188" i="4"/>
  <c r="K188" i="4"/>
  <c r="H188" i="4"/>
  <c r="J188" i="4"/>
  <c r="H189" i="4"/>
  <c r="J189" i="4"/>
  <c r="I189" i="4"/>
  <c r="K189" i="4"/>
  <c r="H111" i="4"/>
  <c r="J111" i="4"/>
  <c r="I112" i="4"/>
  <c r="K112" i="4"/>
  <c r="I111" i="4"/>
  <c r="K111" i="4"/>
  <c r="H112" i="4"/>
  <c r="J112" i="4"/>
  <c r="H73" i="4"/>
  <c r="J73" i="4"/>
  <c r="I73" i="4"/>
  <c r="K73" i="4"/>
  <c r="I72" i="4"/>
  <c r="K72" i="4"/>
  <c r="H72" i="4"/>
  <c r="J72" i="4"/>
  <c r="H35" i="4"/>
  <c r="J35" i="4"/>
  <c r="I35" i="4"/>
  <c r="K35" i="4"/>
  <c r="I34" i="4"/>
  <c r="K34" i="4"/>
  <c r="H34" i="4"/>
  <c r="J34" i="4"/>
  <c r="H29" i="4"/>
  <c r="J29" i="4"/>
  <c r="H84" i="4"/>
  <c r="J84" i="4"/>
  <c r="H86" i="4"/>
  <c r="J86" i="4"/>
  <c r="H88" i="4"/>
  <c r="J88" i="4"/>
  <c r="H90" i="4"/>
  <c r="J90" i="4"/>
  <c r="H92" i="4"/>
  <c r="J92" i="4"/>
  <c r="H94" i="4"/>
  <c r="J94" i="4"/>
  <c r="H96" i="4"/>
  <c r="J96" i="4"/>
  <c r="H98" i="4"/>
  <c r="J98" i="4"/>
  <c r="H100" i="4"/>
  <c r="J100" i="4"/>
  <c r="H102" i="4"/>
  <c r="J102" i="4"/>
  <c r="H104" i="4"/>
  <c r="J104" i="4"/>
  <c r="H106" i="4"/>
  <c r="J106" i="4"/>
  <c r="H108" i="4"/>
  <c r="J108" i="4"/>
  <c r="H110" i="4"/>
  <c r="J110" i="4"/>
  <c r="I84" i="4"/>
  <c r="K84" i="4"/>
  <c r="I86" i="4"/>
  <c r="K86" i="4"/>
  <c r="I88" i="4"/>
  <c r="K88" i="4"/>
  <c r="I90" i="4"/>
  <c r="K90" i="4"/>
  <c r="I92" i="4"/>
  <c r="K92" i="4"/>
  <c r="I94" i="4"/>
  <c r="K94" i="4"/>
  <c r="I96" i="4"/>
  <c r="K96" i="4"/>
  <c r="I98" i="4"/>
  <c r="K98" i="4"/>
  <c r="I100" i="4"/>
  <c r="K100" i="4"/>
  <c r="I102" i="4"/>
  <c r="K102" i="4"/>
  <c r="I104" i="4"/>
  <c r="K104" i="4"/>
  <c r="I106" i="4"/>
  <c r="K106" i="4"/>
  <c r="I108" i="4"/>
  <c r="K108" i="4"/>
  <c r="I110" i="4"/>
  <c r="K110" i="4"/>
  <c r="H85" i="4"/>
  <c r="J85" i="4"/>
  <c r="H89" i="4"/>
  <c r="J89" i="4"/>
  <c r="H93" i="4"/>
  <c r="J93" i="4"/>
  <c r="H97" i="4"/>
  <c r="J97" i="4"/>
  <c r="H101" i="4"/>
  <c r="J101" i="4"/>
  <c r="H105" i="4"/>
  <c r="J105" i="4"/>
  <c r="H109" i="4"/>
  <c r="J109" i="4"/>
  <c r="H83" i="4"/>
  <c r="J83" i="4"/>
  <c r="H91" i="4"/>
  <c r="J91" i="4"/>
  <c r="H103" i="4"/>
  <c r="J103" i="4"/>
  <c r="I85" i="4"/>
  <c r="K85" i="4"/>
  <c r="I89" i="4"/>
  <c r="K89" i="4"/>
  <c r="I93" i="4"/>
  <c r="K93" i="4"/>
  <c r="I97" i="4"/>
  <c r="K97" i="4"/>
  <c r="I101" i="4"/>
  <c r="K101" i="4"/>
  <c r="I105" i="4"/>
  <c r="K105" i="4"/>
  <c r="I109" i="4"/>
  <c r="K109" i="4"/>
  <c r="H99" i="4"/>
  <c r="J99" i="4"/>
  <c r="I83" i="4"/>
  <c r="K83" i="4"/>
  <c r="I87" i="4"/>
  <c r="K87" i="4"/>
  <c r="I91" i="4"/>
  <c r="K91" i="4"/>
  <c r="I95" i="4"/>
  <c r="K95" i="4"/>
  <c r="I99" i="4"/>
  <c r="K99" i="4"/>
  <c r="I103" i="4"/>
  <c r="K103" i="4"/>
  <c r="I107" i="4"/>
  <c r="K107" i="4"/>
  <c r="H82" i="4"/>
  <c r="J82" i="4"/>
  <c r="H87" i="4"/>
  <c r="J87" i="4"/>
  <c r="H95" i="4"/>
  <c r="J95" i="4"/>
  <c r="H107" i="4"/>
  <c r="J107" i="4"/>
  <c r="I82" i="4"/>
  <c r="K82" i="4"/>
  <c r="H52" i="4"/>
  <c r="J52" i="4"/>
  <c r="H44" i="4"/>
  <c r="J44" i="4"/>
  <c r="H46" i="4"/>
  <c r="J46" i="4"/>
  <c r="H48" i="4"/>
  <c r="J48" i="4"/>
  <c r="H50" i="4"/>
  <c r="J50" i="4"/>
  <c r="I52" i="4"/>
  <c r="K52" i="4"/>
  <c r="I54" i="4"/>
  <c r="K54" i="4"/>
  <c r="I56" i="4"/>
  <c r="K56" i="4"/>
  <c r="I58" i="4"/>
  <c r="K58" i="4"/>
  <c r="I60" i="4"/>
  <c r="K60" i="4"/>
  <c r="I62" i="4"/>
  <c r="K62" i="4"/>
  <c r="I64" i="4"/>
  <c r="K64" i="4"/>
  <c r="I66" i="4"/>
  <c r="K66" i="4"/>
  <c r="I68" i="4"/>
  <c r="K68" i="4"/>
  <c r="I70" i="4"/>
  <c r="K70" i="4"/>
  <c r="H43" i="4"/>
  <c r="J43" i="4"/>
  <c r="I44" i="4"/>
  <c r="K44" i="4"/>
  <c r="I46" i="4"/>
  <c r="K46" i="4"/>
  <c r="I48" i="4"/>
  <c r="K48" i="4"/>
  <c r="I50" i="4"/>
  <c r="K50" i="4"/>
  <c r="H53" i="4"/>
  <c r="J53" i="4"/>
  <c r="H55" i="4"/>
  <c r="J55" i="4"/>
  <c r="H57" i="4"/>
  <c r="J57" i="4"/>
  <c r="H59" i="4"/>
  <c r="J59" i="4"/>
  <c r="H61" i="4"/>
  <c r="J61" i="4"/>
  <c r="H63" i="4"/>
  <c r="J63" i="4"/>
  <c r="H65" i="4"/>
  <c r="J65" i="4"/>
  <c r="H67" i="4"/>
  <c r="J67" i="4"/>
  <c r="H69" i="4"/>
  <c r="J69" i="4"/>
  <c r="H71" i="4"/>
  <c r="J71" i="4"/>
  <c r="H45" i="4"/>
  <c r="J45" i="4"/>
  <c r="H49" i="4"/>
  <c r="J49" i="4"/>
  <c r="I53" i="4"/>
  <c r="K53" i="4"/>
  <c r="I57" i="4"/>
  <c r="K57" i="4"/>
  <c r="I61" i="4"/>
  <c r="K61" i="4"/>
  <c r="I65" i="4"/>
  <c r="K65" i="4"/>
  <c r="I69" i="4"/>
  <c r="K69" i="4"/>
  <c r="H47" i="4"/>
  <c r="J47" i="4"/>
  <c r="I63" i="4"/>
  <c r="K63" i="4"/>
  <c r="I45" i="4"/>
  <c r="K45" i="4"/>
  <c r="I49" i="4"/>
  <c r="K49" i="4"/>
  <c r="H54" i="4"/>
  <c r="J54" i="4"/>
  <c r="H58" i="4"/>
  <c r="J58" i="4"/>
  <c r="H62" i="4"/>
  <c r="J62" i="4"/>
  <c r="H66" i="4"/>
  <c r="J66" i="4"/>
  <c r="H70" i="4"/>
  <c r="J70" i="4"/>
  <c r="H51" i="4"/>
  <c r="J51" i="4"/>
  <c r="I67" i="4"/>
  <c r="K67" i="4"/>
  <c r="I47" i="4"/>
  <c r="K47" i="4"/>
  <c r="I51" i="4"/>
  <c r="K51" i="4"/>
  <c r="H56" i="4"/>
  <c r="J56" i="4"/>
  <c r="H60" i="4"/>
  <c r="J60" i="4"/>
  <c r="H64" i="4"/>
  <c r="J64" i="4"/>
  <c r="H68" i="4"/>
  <c r="J68" i="4"/>
  <c r="I43" i="4"/>
  <c r="K43" i="4"/>
  <c r="I55" i="4"/>
  <c r="K55" i="4"/>
  <c r="I59" i="4"/>
  <c r="K59" i="4"/>
  <c r="I71" i="4"/>
  <c r="K71" i="4"/>
  <c r="H160" i="4"/>
  <c r="J160" i="4"/>
  <c r="H162" i="4"/>
  <c r="J162" i="4"/>
  <c r="H164" i="4"/>
  <c r="J164" i="4"/>
  <c r="H166" i="4"/>
  <c r="J166" i="4"/>
  <c r="H168" i="4"/>
  <c r="J168" i="4"/>
  <c r="H170" i="4"/>
  <c r="J170" i="4"/>
  <c r="H172" i="4"/>
  <c r="J172" i="4"/>
  <c r="H174" i="4"/>
  <c r="J174" i="4"/>
  <c r="H176" i="4"/>
  <c r="J176" i="4"/>
  <c r="H178" i="4"/>
  <c r="J178" i="4"/>
  <c r="H180" i="4"/>
  <c r="J180" i="4"/>
  <c r="H182" i="4"/>
  <c r="J182" i="4"/>
  <c r="H184" i="4"/>
  <c r="J184" i="4"/>
  <c r="H186" i="4"/>
  <c r="J186" i="4"/>
  <c r="I159" i="4"/>
  <c r="K159" i="4"/>
  <c r="I160" i="4"/>
  <c r="K160" i="4"/>
  <c r="I162" i="4"/>
  <c r="K162" i="4"/>
  <c r="I164" i="4"/>
  <c r="K164" i="4"/>
  <c r="I166" i="4"/>
  <c r="K166" i="4"/>
  <c r="I168" i="4"/>
  <c r="K168" i="4"/>
  <c r="I170" i="4"/>
  <c r="K170" i="4"/>
  <c r="I172" i="4"/>
  <c r="K172" i="4"/>
  <c r="I174" i="4"/>
  <c r="K174" i="4"/>
  <c r="I176" i="4"/>
  <c r="K176" i="4"/>
  <c r="I178" i="4"/>
  <c r="K178" i="4"/>
  <c r="I180" i="4"/>
  <c r="K180" i="4"/>
  <c r="I182" i="4"/>
  <c r="K182" i="4"/>
  <c r="I184" i="4"/>
  <c r="K184" i="4"/>
  <c r="I186" i="4"/>
  <c r="K186" i="4"/>
  <c r="H159" i="4"/>
  <c r="J159" i="4"/>
  <c r="H161" i="4"/>
  <c r="J161" i="4"/>
  <c r="I161" i="4"/>
  <c r="K161" i="4"/>
  <c r="I165" i="4"/>
  <c r="K165" i="4"/>
  <c r="I169" i="4"/>
  <c r="K169" i="4"/>
  <c r="I173" i="4"/>
  <c r="K173" i="4"/>
  <c r="I177" i="4"/>
  <c r="K177" i="4"/>
  <c r="I181" i="4"/>
  <c r="K181" i="4"/>
  <c r="I185" i="4"/>
  <c r="K185" i="4"/>
  <c r="I167" i="4"/>
  <c r="K167" i="4"/>
  <c r="I179" i="4"/>
  <c r="K179" i="4"/>
  <c r="I187" i="4"/>
  <c r="K187" i="4"/>
  <c r="H163" i="4"/>
  <c r="J163" i="4"/>
  <c r="H167" i="4"/>
  <c r="J167" i="4"/>
  <c r="H171" i="4"/>
  <c r="J171" i="4"/>
  <c r="H175" i="4"/>
  <c r="J175" i="4"/>
  <c r="H179" i="4"/>
  <c r="J179" i="4"/>
  <c r="H183" i="4"/>
  <c r="J183" i="4"/>
  <c r="H187" i="4"/>
  <c r="J187" i="4"/>
  <c r="I163" i="4"/>
  <c r="K163" i="4"/>
  <c r="I175" i="4"/>
  <c r="K175" i="4"/>
  <c r="I183" i="4"/>
  <c r="K183" i="4"/>
  <c r="H165" i="4"/>
  <c r="J165" i="4"/>
  <c r="H169" i="4"/>
  <c r="J169" i="4"/>
  <c r="H173" i="4"/>
  <c r="J173" i="4"/>
  <c r="H177" i="4"/>
  <c r="J177" i="4"/>
  <c r="H181" i="4"/>
  <c r="J181" i="4"/>
  <c r="H185" i="4"/>
  <c r="J185" i="4"/>
  <c r="I171" i="4"/>
  <c r="K171" i="4"/>
  <c r="I122" i="4"/>
  <c r="K122" i="4"/>
  <c r="I124" i="4"/>
  <c r="K124" i="4"/>
  <c r="I126" i="4"/>
  <c r="K126" i="4"/>
  <c r="I128" i="4"/>
  <c r="K128" i="4"/>
  <c r="I130" i="4"/>
  <c r="K130" i="4"/>
  <c r="I132" i="4"/>
  <c r="K132" i="4"/>
  <c r="I134" i="4"/>
  <c r="K134" i="4"/>
  <c r="I136" i="4"/>
  <c r="K136" i="4"/>
  <c r="I138" i="4"/>
  <c r="K138" i="4"/>
  <c r="I140" i="4"/>
  <c r="K140" i="4"/>
  <c r="I142" i="4"/>
  <c r="K142" i="4"/>
  <c r="I144" i="4"/>
  <c r="K144" i="4"/>
  <c r="I146" i="4"/>
  <c r="K146" i="4"/>
  <c r="I148" i="4"/>
  <c r="K148" i="4"/>
  <c r="H121" i="4"/>
  <c r="J121" i="4"/>
  <c r="H123" i="4"/>
  <c r="J123" i="4"/>
  <c r="H125" i="4"/>
  <c r="J125" i="4"/>
  <c r="H127" i="4"/>
  <c r="J127" i="4"/>
  <c r="H129" i="4"/>
  <c r="J129" i="4"/>
  <c r="H131" i="4"/>
  <c r="J131" i="4"/>
  <c r="H133" i="4"/>
  <c r="J133" i="4"/>
  <c r="H135" i="4"/>
  <c r="J135" i="4"/>
  <c r="H137" i="4"/>
  <c r="J137" i="4"/>
  <c r="H139" i="4"/>
  <c r="J139" i="4"/>
  <c r="H141" i="4"/>
  <c r="J141" i="4"/>
  <c r="H143" i="4"/>
  <c r="J143" i="4"/>
  <c r="H145" i="4"/>
  <c r="J145" i="4"/>
  <c r="H147" i="4"/>
  <c r="J147" i="4"/>
  <c r="H149" i="4"/>
  <c r="J149" i="4"/>
  <c r="H122" i="4"/>
  <c r="J122" i="4"/>
  <c r="H126" i="4"/>
  <c r="J126" i="4"/>
  <c r="H130" i="4"/>
  <c r="J130" i="4"/>
  <c r="H134" i="4"/>
  <c r="J134" i="4"/>
  <c r="H138" i="4"/>
  <c r="J138" i="4"/>
  <c r="H142" i="4"/>
  <c r="J142" i="4"/>
  <c r="H146" i="4"/>
  <c r="J146" i="4"/>
  <c r="I121" i="4"/>
  <c r="K121" i="4"/>
  <c r="H124" i="4"/>
  <c r="J124" i="4"/>
  <c r="H132" i="4"/>
  <c r="J132" i="4"/>
  <c r="H144" i="4"/>
  <c r="J144" i="4"/>
  <c r="I123" i="4"/>
  <c r="K123" i="4"/>
  <c r="I127" i="4"/>
  <c r="K127" i="4"/>
  <c r="I131" i="4"/>
  <c r="K131" i="4"/>
  <c r="I135" i="4"/>
  <c r="K135" i="4"/>
  <c r="I139" i="4"/>
  <c r="K139" i="4"/>
  <c r="I143" i="4"/>
  <c r="K143" i="4"/>
  <c r="I147" i="4"/>
  <c r="K147" i="4"/>
  <c r="H128" i="4"/>
  <c r="J128" i="4"/>
  <c r="H136" i="4"/>
  <c r="J136" i="4"/>
  <c r="H140" i="4"/>
  <c r="J140" i="4"/>
  <c r="I125" i="4"/>
  <c r="K125" i="4"/>
  <c r="I129" i="4"/>
  <c r="K129" i="4"/>
  <c r="I133" i="4"/>
  <c r="K133" i="4"/>
  <c r="I137" i="4"/>
  <c r="K137" i="4"/>
  <c r="I141" i="4"/>
  <c r="K141" i="4"/>
  <c r="I145" i="4"/>
  <c r="K145" i="4"/>
  <c r="I149" i="4"/>
  <c r="K149" i="4"/>
  <c r="H148" i="4"/>
  <c r="J148" i="4"/>
  <c r="H11" i="4"/>
  <c r="J11" i="4"/>
  <c r="I7" i="4"/>
  <c r="K7" i="4"/>
  <c r="H21" i="4"/>
  <c r="J21" i="4"/>
  <c r="H8" i="4"/>
  <c r="J8" i="4"/>
  <c r="H24" i="4"/>
  <c r="J24" i="4"/>
  <c r="H15" i="4"/>
  <c r="J15" i="4"/>
  <c r="I31" i="4"/>
  <c r="K31" i="4"/>
  <c r="I14" i="4"/>
  <c r="K14" i="4"/>
  <c r="I30" i="4"/>
  <c r="K30" i="4"/>
  <c r="I11" i="4"/>
  <c r="K11" i="4"/>
  <c r="H27" i="4"/>
  <c r="J27" i="4"/>
  <c r="I16" i="4"/>
  <c r="K16" i="4"/>
  <c r="H9" i="4"/>
  <c r="J9" i="4"/>
  <c r="H25" i="4"/>
  <c r="J25" i="4"/>
  <c r="H20" i="4"/>
  <c r="J20" i="4"/>
  <c r="I27" i="4"/>
  <c r="K27" i="4"/>
  <c r="I26" i="4"/>
  <c r="K26" i="4"/>
  <c r="I12" i="4"/>
  <c r="K12" i="4"/>
  <c r="H12" i="4"/>
  <c r="J12" i="4"/>
  <c r="H32" i="4"/>
  <c r="J32" i="4"/>
  <c r="H19" i="4"/>
  <c r="J19" i="4"/>
  <c r="H28" i="4"/>
  <c r="J28" i="4"/>
  <c r="I18" i="4"/>
  <c r="K18" i="4"/>
  <c r="H5" i="4"/>
  <c r="J5" i="4"/>
  <c r="I15" i="4"/>
  <c r="K15" i="4"/>
  <c r="H31" i="4"/>
  <c r="J31" i="4"/>
  <c r="I20" i="4"/>
  <c r="K20" i="4"/>
  <c r="H13" i="4"/>
  <c r="J13" i="4"/>
  <c r="I13" i="4"/>
  <c r="K13" i="4"/>
  <c r="I17" i="4"/>
  <c r="K17" i="4"/>
  <c r="I25" i="4"/>
  <c r="K25" i="4"/>
  <c r="I29" i="4"/>
  <c r="K29" i="4"/>
  <c r="I33" i="4"/>
  <c r="K33" i="4"/>
  <c r="H10" i="4"/>
  <c r="J10" i="4"/>
  <c r="H18" i="4"/>
  <c r="J18" i="4"/>
  <c r="H26" i="4"/>
  <c r="J26" i="4"/>
  <c r="H30" i="4"/>
  <c r="J30" i="4"/>
  <c r="I9" i="4"/>
  <c r="K9" i="4"/>
  <c r="I21" i="4"/>
  <c r="K21" i="4"/>
  <c r="H6" i="4"/>
  <c r="J6" i="4"/>
  <c r="H14" i="4"/>
  <c r="J14" i="4"/>
  <c r="H22" i="4"/>
  <c r="J22" i="4"/>
  <c r="I5" i="4"/>
  <c r="K5" i="4"/>
  <c r="I10" i="4"/>
  <c r="K10" i="4"/>
  <c r="I23" i="4"/>
  <c r="K23" i="4"/>
  <c r="I32" i="4"/>
  <c r="K32" i="4"/>
  <c r="H16" i="4"/>
  <c r="J16" i="4"/>
  <c r="H7" i="4"/>
  <c r="J7" i="4"/>
  <c r="H23" i="4"/>
  <c r="J23" i="4"/>
  <c r="I6" i="4"/>
  <c r="K6" i="4"/>
  <c r="I22" i="4"/>
  <c r="K22" i="4"/>
  <c r="I28" i="4"/>
  <c r="K28" i="4"/>
  <c r="I19" i="4"/>
  <c r="K19" i="4"/>
  <c r="I8" i="4"/>
  <c r="K8" i="4"/>
  <c r="I24" i="4"/>
  <c r="K24" i="4"/>
  <c r="H17" i="4"/>
  <c r="J17" i="4"/>
  <c r="H33" i="4"/>
  <c r="J33" i="4"/>
  <c r="V64" i="4"/>
  <c r="G19" i="5"/>
  <c r="J19" i="5"/>
  <c r="U66" i="4"/>
  <c r="F21" i="5"/>
  <c r="I21" i="5"/>
  <c r="F18" i="5"/>
  <c r="I18" i="5"/>
  <c r="U63" i="4"/>
  <c r="V65" i="4"/>
  <c r="G20" i="5"/>
  <c r="J20" i="5"/>
  <c r="V63" i="4"/>
  <c r="G18" i="5"/>
  <c r="J18" i="5"/>
  <c r="U65" i="4"/>
  <c r="F20" i="5"/>
  <c r="I20" i="5"/>
  <c r="U64" i="4"/>
  <c r="F19" i="5"/>
  <c r="I19" i="5"/>
  <c r="V66" i="4"/>
  <c r="G21" i="5"/>
  <c r="J21" i="5"/>
  <c r="V62" i="4"/>
  <c r="G17" i="5"/>
  <c r="J17" i="5"/>
  <c r="U62" i="4"/>
  <c r="F17" i="5"/>
  <c r="I17" i="5"/>
</calcChain>
</file>

<file path=xl/sharedStrings.xml><?xml version="1.0" encoding="utf-8"?>
<sst xmlns="http://schemas.openxmlformats.org/spreadsheetml/2006/main" count="375" uniqueCount="119">
  <si>
    <t>Area</t>
  </si>
  <si>
    <t>Avg_slope</t>
  </si>
  <si>
    <t>Urban</t>
  </si>
  <si>
    <t>Precip</t>
  </si>
  <si>
    <t>H1</t>
  </si>
  <si>
    <t>H2</t>
  </si>
  <si>
    <t>H3</t>
  </si>
  <si>
    <t>H4</t>
  </si>
  <si>
    <t>H5</t>
  </si>
  <si>
    <t>H6</t>
  </si>
  <si>
    <t>H7</t>
  </si>
  <si>
    <t>N10</t>
  </si>
  <si>
    <t>N11</t>
  </si>
  <si>
    <t>N13</t>
  </si>
  <si>
    <t>N14</t>
  </si>
  <si>
    <t>N1</t>
  </si>
  <si>
    <t>N2</t>
  </si>
  <si>
    <t>N3</t>
  </si>
  <si>
    <t>N4</t>
  </si>
  <si>
    <t>N5</t>
  </si>
  <si>
    <t>N7</t>
  </si>
  <si>
    <t>N8</t>
  </si>
  <si>
    <t>N9</t>
  </si>
  <si>
    <t>G1</t>
  </si>
  <si>
    <t>G2</t>
  </si>
  <si>
    <t>G3</t>
  </si>
  <si>
    <t>G4</t>
  </si>
  <si>
    <t>Y1</t>
  </si>
  <si>
    <t>Y2</t>
  </si>
  <si>
    <t>Y3</t>
  </si>
  <si>
    <t>Y4</t>
  </si>
  <si>
    <t>Y5</t>
  </si>
  <si>
    <t>S3</t>
  </si>
  <si>
    <t>Id</t>
  </si>
  <si>
    <t>1var eqn</t>
  </si>
  <si>
    <t>2var eqn</t>
  </si>
  <si>
    <t>3var eqn</t>
  </si>
  <si>
    <t>4var eqn</t>
  </si>
  <si>
    <t>b0</t>
  </si>
  <si>
    <t>A</t>
  </si>
  <si>
    <t>P</t>
  </si>
  <si>
    <t>U</t>
  </si>
  <si>
    <t>Sand</t>
  </si>
  <si>
    <t>Slope</t>
  </si>
  <si>
    <t>Model 1</t>
  </si>
  <si>
    <t>SD ~ A</t>
  </si>
  <si>
    <t>Model 2</t>
  </si>
  <si>
    <t>SD ~ A + P</t>
  </si>
  <si>
    <t>Model 3</t>
  </si>
  <si>
    <t>SD ~ A + P + Urban</t>
  </si>
  <si>
    <t>Model 4</t>
  </si>
  <si>
    <t>SD ~ A + P + Urban + %Sand</t>
  </si>
  <si>
    <t>Modek 5</t>
  </si>
  <si>
    <t>SD ~ A + P + Urban + %Sand + Avg_slope</t>
  </si>
  <si>
    <t>5var eqn</t>
  </si>
  <si>
    <t>sand50</t>
  </si>
  <si>
    <t>SD</t>
  </si>
  <si>
    <t>tons/km2/yr</t>
  </si>
  <si>
    <t>SD MEP, M</t>
  </si>
  <si>
    <t>log(4)</t>
  </si>
  <si>
    <t xml:space="preserve">M/C </t>
  </si>
  <si>
    <t>[4]</t>
  </si>
  <si>
    <t>Mean</t>
  </si>
  <si>
    <t>STDEV</t>
  </si>
  <si>
    <t>UP</t>
  </si>
  <si>
    <t>LOW</t>
  </si>
  <si>
    <t>log(3)</t>
  </si>
  <si>
    <t>log</t>
  </si>
  <si>
    <t>Name</t>
  </si>
  <si>
    <t>Input the variable</t>
  </si>
  <si>
    <t>Watershed area</t>
  </si>
  <si>
    <t>Precipitation</t>
  </si>
  <si>
    <t>% of urban</t>
  </si>
  <si>
    <t>% Sand at 0~50cm</t>
  </si>
  <si>
    <t>watershed avg slope</t>
  </si>
  <si>
    <t>Variables</t>
  </si>
  <si>
    <t>Unit</t>
  </si>
  <si>
    <t>Value</t>
  </si>
  <si>
    <r>
      <t>km</t>
    </r>
    <r>
      <rPr>
        <vertAlign val="superscript"/>
        <sz val="11"/>
        <color theme="1"/>
        <rFont val="Calibri"/>
        <family val="2"/>
        <scheme val="minor"/>
      </rPr>
      <t>2</t>
    </r>
  </si>
  <si>
    <t>mm</t>
  </si>
  <si>
    <t>%</t>
  </si>
  <si>
    <t>Result</t>
  </si>
  <si>
    <t>Extend</t>
  </si>
  <si>
    <t>Test</t>
  </si>
  <si>
    <t>1.96SD</t>
  </si>
  <si>
    <t>Extension</t>
  </si>
  <si>
    <t>SD CI</t>
  </si>
  <si>
    <t>SY</t>
  </si>
  <si>
    <t>SYCI</t>
  </si>
  <si>
    <t>eqn</t>
  </si>
  <si>
    <t>Watershed area, A</t>
  </si>
  <si>
    <t>Precipitation, P</t>
  </si>
  <si>
    <t>Range</t>
  </si>
  <si>
    <t>Var</t>
  </si>
  <si>
    <t>S</t>
  </si>
  <si>
    <t>%S</t>
  </si>
  <si>
    <t>% of urban, U</t>
  </si>
  <si>
    <t>mean</t>
  </si>
  <si>
    <t>min</t>
  </si>
  <si>
    <t>max</t>
  </si>
  <si>
    <t>Input variables</t>
  </si>
  <si>
    <t>Dataset information</t>
  </si>
  <si>
    <t>Results</t>
  </si>
  <si>
    <t># of data within range</t>
  </si>
  <si>
    <t xml:space="preserve">Applicability index: </t>
  </si>
  <si>
    <t xml:space="preserve">SD (dataset) </t>
  </si>
  <si>
    <t>Specific Degradation</t>
  </si>
  <si>
    <t>Sediment Yield</t>
  </si>
  <si>
    <t>Predicion Intervals</t>
  </si>
  <si>
    <t>2vars eqn</t>
  </si>
  <si>
    <t>3vars eqn</t>
  </si>
  <si>
    <t>4vars eqn</t>
  </si>
  <si>
    <t>5vars eqn</t>
  </si>
  <si>
    <t>Equations</t>
  </si>
  <si>
    <t>% of urban, %U</t>
  </si>
  <si>
    <r>
      <t>tons/km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</rPr>
      <t>·year</t>
    </r>
  </si>
  <si>
    <t>tons/year</t>
  </si>
  <si>
    <t>% Sand at 0~50cm, Sand</t>
  </si>
  <si>
    <t>Watershed avg slope,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</si>
</sst>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5">
    <xf numFmtId="0" fontId="0" fillId="0" borderId="0" xfId="0"/>
    <xf numFmtId="11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12" xfId="0" applyNumberFormat="1" applyBorder="1"/>
    <xf numFmtId="1" fontId="0" fillId="0" borderId="15" xfId="0" applyNumberFormat="1" applyBorder="1"/>
    <xf numFmtId="1" fontId="0" fillId="0" borderId="18" xfId="0" applyNumberFormat="1" applyBorder="1"/>
    <xf numFmtId="0" fontId="0" fillId="0" borderId="26" xfId="0" applyBorder="1"/>
    <xf numFmtId="1" fontId="0" fillId="0" borderId="11" xfId="0" applyNumberFormat="1" applyBorder="1"/>
    <xf numFmtId="1" fontId="0" fillId="0" borderId="14" xfId="0" applyNumberFormat="1" applyBorder="1"/>
    <xf numFmtId="1" fontId="0" fillId="0" borderId="17" xfId="0" applyNumberFormat="1" applyBorder="1"/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20" fillId="0" borderId="0" xfId="0" applyFont="1" applyAlignment="1">
      <alignment vertical="center"/>
    </xf>
    <xf numFmtId="0" fontId="0" fillId="0" borderId="12" xfId="0" applyBorder="1" applyAlignment="1">
      <alignment horizontal="center"/>
    </xf>
    <xf numFmtId="1" fontId="0" fillId="0" borderId="37" xfId="0" applyNumberFormat="1" applyBorder="1"/>
    <xf numFmtId="1" fontId="0" fillId="0" borderId="36" xfId="0" applyNumberFormat="1" applyBorder="1"/>
    <xf numFmtId="1" fontId="0" fillId="0" borderId="38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5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1" fontId="0" fillId="33" borderId="11" xfId="0" applyNumberFormat="1" applyFill="1" applyBorder="1"/>
    <xf numFmtId="1" fontId="0" fillId="33" borderId="14" xfId="0" applyNumberFormat="1" applyFill="1" applyBorder="1"/>
    <xf numFmtId="1" fontId="0" fillId="33" borderId="17" xfId="0" applyNumberFormat="1" applyFill="1" applyBorder="1"/>
    <xf numFmtId="0" fontId="16" fillId="0" borderId="0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0" fillId="33" borderId="44" xfId="0" applyFont="1" applyFill="1" applyBorder="1" applyAlignment="1">
      <alignment horizontal="center" vertical="center"/>
    </xf>
    <xf numFmtId="0" fontId="20" fillId="33" borderId="4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1 Variable Equation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816904064160799"/>
          <c:y val="0.103951421122781"/>
          <c:w val="0.76529882687639395"/>
          <c:h val="0.75552465547125103"/>
        </c:manualLayout>
      </c:layout>
      <c:scatterChart>
        <c:scatterStyle val="lineMarker"/>
        <c:varyColors val="0"/>
        <c:ser>
          <c:idx val="0"/>
          <c:order val="0"/>
          <c:tx>
            <c:v>SD (dataset)</c:v>
          </c:tx>
          <c:spPr>
            <a:ln w="28575">
              <a:noFill/>
            </a:ln>
          </c:spPr>
          <c:xVal>
            <c:numRef>
              <c:f>BASE!$D$5:$D$33</c:f>
              <c:numCache>
                <c:formatCode>0</c:formatCode>
                <c:ptCount val="29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</c:numCache>
            </c:numRef>
          </c:xVal>
          <c:yVal>
            <c:numRef>
              <c:f>BASE!$C$5:$C$33</c:f>
              <c:numCache>
                <c:formatCode>0</c:formatCode>
                <c:ptCount val="29"/>
                <c:pt idx="0">
                  <c:v>58.253337520207104</c:v>
                </c:pt>
                <c:pt idx="1">
                  <c:v>123.49300805744497</c:v>
                </c:pt>
                <c:pt idx="2">
                  <c:v>89.732294230520893</c:v>
                </c:pt>
                <c:pt idx="3">
                  <c:v>136.57889170361531</c:v>
                </c:pt>
                <c:pt idx="4">
                  <c:v>109.11092366359108</c:v>
                </c:pt>
                <c:pt idx="5">
                  <c:v>61.031624162965429</c:v>
                </c:pt>
                <c:pt idx="6">
                  <c:v>121.51759071773199</c:v>
                </c:pt>
                <c:pt idx="7">
                  <c:v>136.28184645832638</c:v>
                </c:pt>
                <c:pt idx="8">
                  <c:v>105.3813876138976</c:v>
                </c:pt>
                <c:pt idx="9">
                  <c:v>91.267206370648935</c:v>
                </c:pt>
                <c:pt idx="10">
                  <c:v>101.16515398750425</c:v>
                </c:pt>
                <c:pt idx="11">
                  <c:v>95.788899642120555</c:v>
                </c:pt>
                <c:pt idx="12">
                  <c:v>87.276629006881393</c:v>
                </c:pt>
                <c:pt idx="13">
                  <c:v>58.428713376642165</c:v>
                </c:pt>
                <c:pt idx="14">
                  <c:v>60.234840729227543</c:v>
                </c:pt>
                <c:pt idx="15">
                  <c:v>58.224765170900106</c:v>
                </c:pt>
                <c:pt idx="16">
                  <c:v>51.405851993677381</c:v>
                </c:pt>
                <c:pt idx="17">
                  <c:v>76.14380431155115</c:v>
                </c:pt>
                <c:pt idx="18">
                  <c:v>87.618356180072794</c:v>
                </c:pt>
                <c:pt idx="19">
                  <c:v>105.66629947698272</c:v>
                </c:pt>
                <c:pt idx="20">
                  <c:v>65.447218270274789</c:v>
                </c:pt>
                <c:pt idx="21">
                  <c:v>84.068239990206621</c:v>
                </c:pt>
                <c:pt idx="22">
                  <c:v>125.94809332168064</c:v>
                </c:pt>
                <c:pt idx="23">
                  <c:v>134.02757021233063</c:v>
                </c:pt>
                <c:pt idx="24">
                  <c:v>82.408775183218722</c:v>
                </c:pt>
                <c:pt idx="25">
                  <c:v>103.58693654947963</c:v>
                </c:pt>
                <c:pt idx="26">
                  <c:v>106.62516644644789</c:v>
                </c:pt>
                <c:pt idx="27">
                  <c:v>107.72672631067087</c:v>
                </c:pt>
                <c:pt idx="28">
                  <c:v>72.465944918672832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BASE!$H$3</c:f>
              <c:strCache>
                <c:ptCount val="1"/>
                <c:pt idx="0">
                  <c:v>UP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BASE!$D$5:$D$35</c:f>
              <c:numCache>
                <c:formatCode>0</c:formatCode>
                <c:ptCount val="31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  <c:pt idx="29">
                  <c:v>10</c:v>
                </c:pt>
                <c:pt idx="30">
                  <c:v>1200</c:v>
                </c:pt>
              </c:numCache>
            </c:numRef>
          </c:xVal>
          <c:yVal>
            <c:numRef>
              <c:f>BASE!$J$5:$J$35</c:f>
              <c:numCache>
                <c:formatCode>0</c:formatCode>
                <c:ptCount val="31"/>
                <c:pt idx="0">
                  <c:v>750.28154022009585</c:v>
                </c:pt>
                <c:pt idx="1">
                  <c:v>2982.5499467054469</c:v>
                </c:pt>
                <c:pt idx="2">
                  <c:v>6200.8444873712879</c:v>
                </c:pt>
                <c:pt idx="3">
                  <c:v>1734.9285324588857</c:v>
                </c:pt>
                <c:pt idx="4">
                  <c:v>2552.8402880390236</c:v>
                </c:pt>
                <c:pt idx="5">
                  <c:v>139.60700471190353</c:v>
                </c:pt>
                <c:pt idx="6">
                  <c:v>507.9309994218587</c:v>
                </c:pt>
                <c:pt idx="7">
                  <c:v>420.17997782708255</c:v>
                </c:pt>
                <c:pt idx="8">
                  <c:v>216.22128568123006</c:v>
                </c:pt>
                <c:pt idx="9">
                  <c:v>322.12424507004533</c:v>
                </c:pt>
                <c:pt idx="10">
                  <c:v>269.25354167663693</c:v>
                </c:pt>
                <c:pt idx="11">
                  <c:v>357.47070763682507</c:v>
                </c:pt>
                <c:pt idx="12">
                  <c:v>279.72642596860391</c:v>
                </c:pt>
                <c:pt idx="13">
                  <c:v>110.2590619238248</c:v>
                </c:pt>
                <c:pt idx="14">
                  <c:v>259.1201151750729</c:v>
                </c:pt>
                <c:pt idx="15">
                  <c:v>326.5553944690559</c:v>
                </c:pt>
                <c:pt idx="16">
                  <c:v>558.08244394483268</c:v>
                </c:pt>
                <c:pt idx="17">
                  <c:v>189.87144996871029</c:v>
                </c:pt>
                <c:pt idx="18">
                  <c:v>846.15497269743776</c:v>
                </c:pt>
                <c:pt idx="19">
                  <c:v>711.02152620152947</c:v>
                </c:pt>
                <c:pt idx="20">
                  <c:v>718.22522571286038</c:v>
                </c:pt>
                <c:pt idx="21">
                  <c:v>852.58609088017511</c:v>
                </c:pt>
                <c:pt idx="22">
                  <c:v>336.27619026810726</c:v>
                </c:pt>
                <c:pt idx="23">
                  <c:v>548.58207586553124</c:v>
                </c:pt>
                <c:pt idx="24">
                  <c:v>702.35578073421823</c:v>
                </c:pt>
                <c:pt idx="25">
                  <c:v>921.0573705090851</c:v>
                </c:pt>
                <c:pt idx="26">
                  <c:v>257.55253407777724</c:v>
                </c:pt>
                <c:pt idx="27">
                  <c:v>227.13926339667594</c:v>
                </c:pt>
                <c:pt idx="28">
                  <c:v>254.20733842119728</c:v>
                </c:pt>
                <c:pt idx="29">
                  <c:v>56.266383162018379</c:v>
                </c:pt>
                <c:pt idx="30">
                  <c:v>6751.9659794422096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BASE!$I$3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BASE!$D$5:$D$33</c:f>
              <c:numCache>
                <c:formatCode>0</c:formatCode>
                <c:ptCount val="29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</c:numCache>
            </c:numRef>
          </c:xVal>
          <c:yVal>
            <c:numRef>
              <c:f>BASE!$K$5:$K$33</c:f>
              <c:numCache>
                <c:formatCode>0</c:formatCode>
                <c:ptCount val="29"/>
                <c:pt idx="0">
                  <c:v>23.698794912058947</c:v>
                </c:pt>
                <c:pt idx="1">
                  <c:v>94.208421389668985</c:v>
                </c:pt>
                <c:pt idx="2">
                  <c:v>195.86319789325304</c:v>
                </c:pt>
                <c:pt idx="3">
                  <c:v>54.800382621383967</c:v>
                </c:pt>
                <c:pt idx="4">
                  <c:v>80.635381768463532</c:v>
                </c:pt>
                <c:pt idx="5">
                  <c:v>4.4097016860946532</c:v>
                </c:pt>
                <c:pt idx="6">
                  <c:v>16.043780820256625</c:v>
                </c:pt>
                <c:pt idx="7">
                  <c:v>13.272030013901686</c:v>
                </c:pt>
                <c:pt idx="8">
                  <c:v>6.8296814332896867</c:v>
                </c:pt>
                <c:pt idx="9">
                  <c:v>10.174789077014207</c:v>
                </c:pt>
                <c:pt idx="10">
                  <c:v>8.5047866986948257</c:v>
                </c:pt>
                <c:pt idx="11">
                  <c:v>11.291261390848749</c:v>
                </c:pt>
                <c:pt idx="12">
                  <c:v>8.835588835850217</c:v>
                </c:pt>
                <c:pt idx="13">
                  <c:v>3.4827018334506854</c:v>
                </c:pt>
                <c:pt idx="14">
                  <c:v>8.1847068572708395</c:v>
                </c:pt>
                <c:pt idx="15">
                  <c:v>10.314753737215002</c:v>
                </c:pt>
                <c:pt idx="16">
                  <c:v>17.627891230256591</c:v>
                </c:pt>
                <c:pt idx="17">
                  <c:v>5.9973813978466373</c:v>
                </c:pt>
                <c:pt idx="18">
                  <c:v>26.727104542506645</c:v>
                </c:pt>
                <c:pt idx="19">
                  <c:v>22.458707064239015</c:v>
                </c:pt>
                <c:pt idx="20">
                  <c:v>22.686246978491781</c:v>
                </c:pt>
                <c:pt idx="21">
                  <c:v>26.930241288778191</c:v>
                </c:pt>
                <c:pt idx="22">
                  <c:v>10.621800004081898</c:v>
                </c:pt>
                <c:pt idx="23">
                  <c:v>17.327807511504293</c:v>
                </c:pt>
                <c:pt idx="24">
                  <c:v>22.184986182702108</c:v>
                </c:pt>
                <c:pt idx="25">
                  <c:v>29.093011830641373</c:v>
                </c:pt>
                <c:pt idx="26">
                  <c:v>8.1351924004418343</c:v>
                </c:pt>
                <c:pt idx="27">
                  <c:v>7.1745425299080017</c:v>
                </c:pt>
                <c:pt idx="28">
                  <c:v>8.0295292572666135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BASE!$D$5:$D$35</c:f>
              <c:numCache>
                <c:formatCode>0</c:formatCode>
                <c:ptCount val="31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  <c:pt idx="29">
                  <c:v>10</c:v>
                </c:pt>
                <c:pt idx="30">
                  <c:v>1200</c:v>
                </c:pt>
              </c:numCache>
            </c:numRef>
          </c:xVal>
          <c:yVal>
            <c:numRef>
              <c:f>BASE!$D$5:$D$35</c:f>
              <c:numCache>
                <c:formatCode>0</c:formatCode>
                <c:ptCount val="31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  <c:pt idx="29">
                  <c:v>10</c:v>
                </c:pt>
                <c:pt idx="30">
                  <c:v>1200</c:v>
                </c:pt>
              </c:numCache>
            </c:numRef>
          </c:yVal>
          <c:smooth val="0"/>
        </c:ser>
        <c:ser>
          <c:idx val="4"/>
          <c:order val="4"/>
          <c:tx>
            <c:v>SD</c:v>
          </c:tx>
          <c:spPr>
            <a:ln w="28575">
              <a:noFill/>
            </a:ln>
          </c:spPr>
          <c:marker>
            <c:symbol val="diamond"/>
            <c:size val="20"/>
            <c:spPr>
              <a:solidFill>
                <a:schemeClr val="tx1"/>
              </a:solidFill>
            </c:spPr>
          </c:marker>
          <c:dPt>
            <c:idx val="0"/>
            <c:bubble3D val="0"/>
          </c:dPt>
          <c:xVal>
            <c:numRef>
              <c:f>BASE!$C$36</c:f>
              <c:numCache>
                <c:formatCode>0</c:formatCode>
                <c:ptCount val="1"/>
                <c:pt idx="0">
                  <c:v>90.121004767413012</c:v>
                </c:pt>
              </c:numCache>
            </c:numRef>
          </c:xVal>
          <c:yVal>
            <c:numRef>
              <c:f>BASE!$C$36</c:f>
              <c:numCache>
                <c:formatCode>0</c:formatCode>
                <c:ptCount val="1"/>
                <c:pt idx="0">
                  <c:v>90.121004767413012</c:v>
                </c:pt>
              </c:numCache>
            </c:numRef>
          </c:yVal>
          <c:smooth val="0"/>
        </c:ser>
        <c:ser>
          <c:idx val="5"/>
          <c:order val="5"/>
          <c:tx>
            <c:v>SD PI (UP)</c:v>
          </c:tx>
          <c:spPr>
            <a:ln w="28575">
              <a:noFill/>
            </a:ln>
          </c:spPr>
          <c:marker>
            <c:symbol val="diamond"/>
            <c:size val="2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BASE!$J$36</c:f>
              <c:numCache>
                <c:formatCode>0</c:formatCode>
                <c:ptCount val="1"/>
                <c:pt idx="0">
                  <c:v>507.07829851893433</c:v>
                </c:pt>
              </c:numCache>
            </c:numRef>
          </c:xVal>
          <c:yVal>
            <c:numRef>
              <c:f>BASE!$C$36</c:f>
              <c:numCache>
                <c:formatCode>0</c:formatCode>
                <c:ptCount val="1"/>
                <c:pt idx="0">
                  <c:v>90.121004767413012</c:v>
                </c:pt>
              </c:numCache>
            </c:numRef>
          </c:yVal>
          <c:smooth val="0"/>
        </c:ser>
        <c:ser>
          <c:idx val="6"/>
          <c:order val="6"/>
          <c:tx>
            <c:v>SD PI (down)</c:v>
          </c:tx>
          <c:spPr>
            <a:ln w="28575">
              <a:noFill/>
            </a:ln>
          </c:spPr>
          <c:marker>
            <c:symbol val="diamond"/>
            <c:size val="20"/>
            <c:spPr>
              <a:solidFill>
                <a:srgbClr val="00B050"/>
              </a:solidFill>
            </c:spPr>
          </c:marker>
          <c:xVal>
            <c:numRef>
              <c:f>BASE!$K$36</c:f>
              <c:numCache>
                <c:formatCode>0</c:formatCode>
                <c:ptCount val="1"/>
                <c:pt idx="0">
                  <c:v>16.016846952453079</c:v>
                </c:pt>
              </c:numCache>
            </c:numRef>
          </c:xVal>
          <c:yVal>
            <c:numRef>
              <c:f>BASE!$C$36</c:f>
              <c:numCache>
                <c:formatCode>0</c:formatCode>
                <c:ptCount val="1"/>
                <c:pt idx="0">
                  <c:v>90.121004767413012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908608"/>
        <c:axId val="73910912"/>
      </c:scatterChart>
      <c:valAx>
        <c:axId val="73908608"/>
        <c:scaling>
          <c:logBase val="10"/>
          <c:orientation val="minMax"/>
          <c:max val="1200"/>
          <c:min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Measured Specific degradation (tons/km</a:t>
                </a:r>
                <a:r>
                  <a:rPr lang="en-US" sz="1800" b="1" i="0" baseline="30000">
                    <a:effectLst/>
                  </a:rPr>
                  <a:t>2</a:t>
                </a:r>
                <a:r>
                  <a:rPr lang="en-US" sz="1800" b="1" i="0" baseline="0">
                    <a:effectLst/>
                  </a:rPr>
                  <a:t>▪year)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0.28514149429978503"/>
              <c:y val="0.91710560498763005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73910912"/>
        <c:crosses val="autoZero"/>
        <c:crossBetween val="midCat"/>
      </c:valAx>
      <c:valAx>
        <c:axId val="73910912"/>
        <c:scaling>
          <c:logBase val="10"/>
          <c:orientation val="minMax"/>
          <c:max val="1000"/>
          <c:min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Calculated Specific degradation (tons/km</a:t>
                </a:r>
                <a:r>
                  <a:rPr lang="en-US" sz="1800" b="1" i="0" baseline="30000">
                    <a:effectLst/>
                  </a:rPr>
                  <a:t>2</a:t>
                </a:r>
                <a:r>
                  <a:rPr lang="en-US" sz="1800" b="1" i="0" baseline="0">
                    <a:effectLst/>
                    <a:latin typeface="Calibri"/>
                  </a:rPr>
                  <a:t>▪year</a:t>
                </a:r>
                <a:r>
                  <a:rPr lang="en-US" sz="1800" b="1" i="0" baseline="0">
                    <a:effectLst/>
                  </a:rPr>
                  <a:t>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3908608"/>
        <c:crosses val="autoZero"/>
        <c:crossBetween val="midCat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8739078790406899"/>
          <c:y val="0.118604237809878"/>
          <c:w val="0.198464740244163"/>
          <c:h val="0.224687556617617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2 Variables Equation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836159459407801"/>
          <c:y val="0.11676047022753901"/>
          <c:w val="0.72933818197329703"/>
          <c:h val="0.72777178979990897"/>
        </c:manualLayout>
      </c:layout>
      <c:scatterChart>
        <c:scatterStyle val="lineMarker"/>
        <c:varyColors val="0"/>
        <c:ser>
          <c:idx val="0"/>
          <c:order val="0"/>
          <c:tx>
            <c:strRef>
              <c:f>BASE!$C$3</c:f>
              <c:strCache>
                <c:ptCount val="1"/>
                <c:pt idx="0">
                  <c:v>SD (dataset) </c:v>
                </c:pt>
              </c:strCache>
            </c:strRef>
          </c:tx>
          <c:spPr>
            <a:ln w="28575">
              <a:noFill/>
            </a:ln>
          </c:spPr>
          <c:xVal>
            <c:numRef>
              <c:f>BASE!$D$5:$D$33</c:f>
              <c:numCache>
                <c:formatCode>0</c:formatCode>
                <c:ptCount val="29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</c:numCache>
            </c:numRef>
          </c:xVal>
          <c:yVal>
            <c:numRef>
              <c:f>BASE!$C$43:$C$71</c:f>
              <c:numCache>
                <c:formatCode>#,##0</c:formatCode>
                <c:ptCount val="29"/>
                <c:pt idx="0">
                  <c:v>79.58756668027813</c:v>
                </c:pt>
                <c:pt idx="1">
                  <c:v>148.31227207544256</c:v>
                </c:pt>
                <c:pt idx="2">
                  <c:v>106.90099343975879</c:v>
                </c:pt>
                <c:pt idx="3">
                  <c:v>158.69584909662007</c:v>
                </c:pt>
                <c:pt idx="4">
                  <c:v>116.91361601466245</c:v>
                </c:pt>
                <c:pt idx="5">
                  <c:v>75.731878682263741</c:v>
                </c:pt>
                <c:pt idx="6">
                  <c:v>158.27505483317307</c:v>
                </c:pt>
                <c:pt idx="7">
                  <c:v>95.374734530216415</c:v>
                </c:pt>
                <c:pt idx="8">
                  <c:v>94.825309448660207</c:v>
                </c:pt>
                <c:pt idx="9">
                  <c:v>86.485137932725209</c:v>
                </c:pt>
                <c:pt idx="10">
                  <c:v>78.757838182238117</c:v>
                </c:pt>
                <c:pt idx="11">
                  <c:v>55.69101547049582</c:v>
                </c:pt>
                <c:pt idx="12">
                  <c:v>46.853569791928059</c:v>
                </c:pt>
                <c:pt idx="13">
                  <c:v>34.844637858043562</c:v>
                </c:pt>
                <c:pt idx="14">
                  <c:v>44.008730299769304</c:v>
                </c:pt>
                <c:pt idx="15">
                  <c:v>36.46845167698946</c:v>
                </c:pt>
                <c:pt idx="16">
                  <c:v>68.476661592584605</c:v>
                </c:pt>
                <c:pt idx="17">
                  <c:v>109.27178718461867</c:v>
                </c:pt>
                <c:pt idx="18">
                  <c:v>75.549385251940677</c:v>
                </c:pt>
                <c:pt idx="19">
                  <c:v>121.27089932428238</c:v>
                </c:pt>
                <c:pt idx="20">
                  <c:v>78.614633170168631</c:v>
                </c:pt>
                <c:pt idx="21">
                  <c:v>90.839354725065974</c:v>
                </c:pt>
                <c:pt idx="22">
                  <c:v>127.31644291024999</c:v>
                </c:pt>
                <c:pt idx="23">
                  <c:v>115.49587870137911</c:v>
                </c:pt>
                <c:pt idx="24">
                  <c:v>95.451562023592601</c:v>
                </c:pt>
                <c:pt idx="25">
                  <c:v>124.4415258135771</c:v>
                </c:pt>
                <c:pt idx="26">
                  <c:v>129.51223588139604</c:v>
                </c:pt>
                <c:pt idx="27">
                  <c:v>122.19862387697407</c:v>
                </c:pt>
                <c:pt idx="28">
                  <c:v>110.13347928571896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BASE!$H$3</c:f>
              <c:strCache>
                <c:ptCount val="1"/>
                <c:pt idx="0">
                  <c:v>UP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BASE!$D$43:$D$73</c:f>
              <c:numCache>
                <c:formatCode>0</c:formatCode>
                <c:ptCount val="31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  <c:pt idx="29">
                  <c:v>10</c:v>
                </c:pt>
                <c:pt idx="30">
                  <c:v>1200</c:v>
                </c:pt>
              </c:numCache>
            </c:numRef>
          </c:xVal>
          <c:yVal>
            <c:numRef>
              <c:f>BASE!$J$43:$J$73</c:f>
              <c:numCache>
                <c:formatCode>0.00</c:formatCode>
                <c:ptCount val="31"/>
                <c:pt idx="0">
                  <c:v>680.90784721997045</c:v>
                </c:pt>
                <c:pt idx="1">
                  <c:v>2706.7727973708274</c:v>
                </c:pt>
                <c:pt idx="2">
                  <c:v>5627.492407187864</c:v>
                </c:pt>
                <c:pt idx="3">
                  <c:v>1574.5108853011886</c:v>
                </c:pt>
                <c:pt idx="4">
                  <c:v>2316.7956182357143</c:v>
                </c:pt>
                <c:pt idx="5">
                  <c:v>126.6984457692038</c:v>
                </c:pt>
                <c:pt idx="6">
                  <c:v>460.96589721662247</c:v>
                </c:pt>
                <c:pt idx="7">
                  <c:v>381.32864639485183</c:v>
                </c:pt>
                <c:pt idx="8">
                  <c:v>196.22869851382919</c:v>
                </c:pt>
                <c:pt idx="9">
                  <c:v>292.33949456314764</c:v>
                </c:pt>
                <c:pt idx="10">
                  <c:v>244.35740397612528</c:v>
                </c:pt>
                <c:pt idx="11">
                  <c:v>324.41769780153066</c:v>
                </c:pt>
                <c:pt idx="12">
                  <c:v>253.86192823156037</c:v>
                </c:pt>
                <c:pt idx="13">
                  <c:v>100.06411788969415</c:v>
                </c:pt>
                <c:pt idx="14">
                  <c:v>235.16095003949016</c:v>
                </c:pt>
                <c:pt idx="15">
                  <c:v>296.36092416823328</c:v>
                </c:pt>
                <c:pt idx="16">
                  <c:v>506.48016125554904</c:v>
                </c:pt>
                <c:pt idx="17">
                  <c:v>172.31526209321768</c:v>
                </c:pt>
                <c:pt idx="18">
                  <c:v>767.91648199803774</c:v>
                </c:pt>
                <c:pt idx="19">
                  <c:v>645.2779533812311</c:v>
                </c:pt>
                <c:pt idx="20">
                  <c:v>651.81557327901101</c:v>
                </c:pt>
                <c:pt idx="21">
                  <c:v>773.75295617777067</c:v>
                </c:pt>
                <c:pt idx="22">
                  <c:v>305.18290070100966</c:v>
                </c:pt>
                <c:pt idx="23">
                  <c:v>497.85823091353791</c:v>
                </c:pt>
                <c:pt idx="24">
                  <c:v>637.41347348349541</c:v>
                </c:pt>
                <c:pt idx="25">
                  <c:v>835.89313837503096</c:v>
                </c:pt>
                <c:pt idx="26">
                  <c:v>233.73831305179459</c:v>
                </c:pt>
                <c:pt idx="27">
                  <c:v>206.13716127573994</c:v>
                </c:pt>
                <c:pt idx="28">
                  <c:v>230.70242605345092</c:v>
                </c:pt>
                <c:pt idx="29">
                  <c:v>51.063793757294093</c:v>
                </c:pt>
                <c:pt idx="30">
                  <c:v>6127.6552508752957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BASE!$I$3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BASE!$D$5:$D$33</c:f>
              <c:numCache>
                <c:formatCode>0</c:formatCode>
                <c:ptCount val="29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</c:numCache>
            </c:numRef>
          </c:xVal>
          <c:yVal>
            <c:numRef>
              <c:f>BASE!$K$43:$K$71</c:f>
              <c:numCache>
                <c:formatCode>0.00</c:formatCode>
                <c:ptCount val="29"/>
                <c:pt idx="0">
                  <c:v>26.113325643955456</c:v>
                </c:pt>
                <c:pt idx="1">
                  <c:v>103.80676297171568</c:v>
                </c:pt>
                <c:pt idx="2">
                  <c:v>215.81854635361489</c:v>
                </c:pt>
                <c:pt idx="3">
                  <c:v>60.383671073392563</c:v>
                </c:pt>
                <c:pt idx="4">
                  <c:v>88.850846229025308</c:v>
                </c:pt>
                <c:pt idx="5">
                  <c:v>4.8589802371383417</c:v>
                </c:pt>
                <c:pt idx="6">
                  <c:v>17.678387220711599</c:v>
                </c:pt>
                <c:pt idx="7">
                  <c:v>14.624239038121404</c:v>
                </c:pt>
                <c:pt idx="8">
                  <c:v>7.5255174777355522</c:v>
                </c:pt>
                <c:pt idx="9">
                  <c:v>11.211438451304323</c:v>
                </c:pt>
                <c:pt idx="10">
                  <c:v>9.3712893596286175</c:v>
                </c:pt>
                <c:pt idx="11">
                  <c:v>12.441661558082915</c:v>
                </c:pt>
                <c:pt idx="12">
                  <c:v>9.7357949795687944</c:v>
                </c:pt>
                <c:pt idx="13">
                  <c:v>3.8375338254613882</c:v>
                </c:pt>
                <c:pt idx="14">
                  <c:v>9.0185984670247468</c:v>
                </c:pt>
                <c:pt idx="15">
                  <c:v>11.365663286956583</c:v>
                </c:pt>
                <c:pt idx="16">
                  <c:v>19.423893316941832</c:v>
                </c:pt>
                <c:pt idx="17">
                  <c:v>6.6084192902686132</c:v>
                </c:pt>
                <c:pt idx="18">
                  <c:v>29.450171919221894</c:v>
                </c:pt>
                <c:pt idx="19">
                  <c:v>24.746892543985631</c:v>
                </c:pt>
                <c:pt idx="20">
                  <c:v>24.99761516089206</c:v>
                </c:pt>
                <c:pt idx="21">
                  <c:v>29.674005072988852</c:v>
                </c:pt>
                <c:pt idx="22">
                  <c:v>11.703992690802187</c:v>
                </c:pt>
                <c:pt idx="23">
                  <c:v>19.093235834259431</c:v>
                </c:pt>
                <c:pt idx="24">
                  <c:v>24.44528385284131</c:v>
                </c:pt>
                <c:pt idx="25">
                  <c:v>32.057127576154159</c:v>
                </c:pt>
                <c:pt idx="26">
                  <c:v>8.9640392736118581</c:v>
                </c:pt>
                <c:pt idx="27">
                  <c:v>7.9055144417728807</c:v>
                </c:pt>
                <c:pt idx="28">
                  <c:v>8.8476107346698019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BASE!$D$43:$D$73</c:f>
              <c:numCache>
                <c:formatCode>0</c:formatCode>
                <c:ptCount val="31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  <c:pt idx="29">
                  <c:v>10</c:v>
                </c:pt>
                <c:pt idx="30">
                  <c:v>1200</c:v>
                </c:pt>
              </c:numCache>
            </c:numRef>
          </c:xVal>
          <c:yVal>
            <c:numRef>
              <c:f>BASE!$D$43:$D$73</c:f>
              <c:numCache>
                <c:formatCode>0</c:formatCode>
                <c:ptCount val="31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  <c:pt idx="29">
                  <c:v>10</c:v>
                </c:pt>
                <c:pt idx="30">
                  <c:v>1200</c:v>
                </c:pt>
              </c:numCache>
            </c:numRef>
          </c:yVal>
          <c:smooth val="0"/>
        </c:ser>
        <c:ser>
          <c:idx val="4"/>
          <c:order val="4"/>
          <c:tx>
            <c:v>SD</c:v>
          </c:tx>
          <c:spPr>
            <a:ln w="28575">
              <a:noFill/>
            </a:ln>
          </c:spPr>
          <c:marker>
            <c:symbol val="diamond"/>
            <c:size val="20"/>
            <c:spPr>
              <a:solidFill>
                <a:schemeClr val="tx1"/>
              </a:solidFill>
            </c:spPr>
          </c:marker>
          <c:xVal>
            <c:numRef>
              <c:f>BASE!$C$74</c:f>
              <c:numCache>
                <c:formatCode>0</c:formatCode>
                <c:ptCount val="1"/>
                <c:pt idx="0">
                  <c:v>56.391448353333615</c:v>
                </c:pt>
              </c:numCache>
            </c:numRef>
          </c:xVal>
          <c:yVal>
            <c:numRef>
              <c:f>BASE!$C$74</c:f>
              <c:numCache>
                <c:formatCode>0</c:formatCode>
                <c:ptCount val="1"/>
                <c:pt idx="0">
                  <c:v>56.391448353333615</c:v>
                </c:pt>
              </c:numCache>
            </c:numRef>
          </c:yVal>
          <c:smooth val="0"/>
        </c:ser>
        <c:ser>
          <c:idx val="5"/>
          <c:order val="5"/>
          <c:tx>
            <c:v>SD PI (up)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dPt>
            <c:idx val="0"/>
            <c:marker>
              <c:symbol val="diamond"/>
              <c:size val="20"/>
            </c:marker>
            <c:bubble3D val="0"/>
          </c:dPt>
          <c:xVal>
            <c:numRef>
              <c:f>BASE!$J$74</c:f>
              <c:numCache>
                <c:formatCode>0.00</c:formatCode>
                <c:ptCount val="1"/>
                <c:pt idx="0">
                  <c:v>287.95612883897286</c:v>
                </c:pt>
              </c:numCache>
            </c:numRef>
          </c:xVal>
          <c:yVal>
            <c:numRef>
              <c:f>BASE!$C$74</c:f>
              <c:numCache>
                <c:formatCode>0</c:formatCode>
                <c:ptCount val="1"/>
                <c:pt idx="0">
                  <c:v>56.391448353333615</c:v>
                </c:pt>
              </c:numCache>
            </c:numRef>
          </c:yVal>
          <c:smooth val="0"/>
        </c:ser>
        <c:ser>
          <c:idx val="6"/>
          <c:order val="6"/>
          <c:tx>
            <c:v>SD PI (down)</c:v>
          </c:tx>
          <c:spPr>
            <a:ln w="28575">
              <a:noFill/>
            </a:ln>
          </c:spPr>
          <c:marker>
            <c:symbol val="diamond"/>
            <c:size val="20"/>
            <c:spPr>
              <a:solidFill>
                <a:srgbClr val="00B050"/>
              </a:solidFill>
            </c:spPr>
          </c:marker>
          <c:xVal>
            <c:numRef>
              <c:f>BASE!$K$74</c:f>
              <c:numCache>
                <c:formatCode>0.00</c:formatCode>
                <c:ptCount val="1"/>
                <c:pt idx="0">
                  <c:v>11.043333094552647</c:v>
                </c:pt>
              </c:numCache>
            </c:numRef>
          </c:xVal>
          <c:yVal>
            <c:numRef>
              <c:f>BASE!$C$74</c:f>
              <c:numCache>
                <c:formatCode>0</c:formatCode>
                <c:ptCount val="1"/>
                <c:pt idx="0">
                  <c:v>56.391448353333615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043392"/>
        <c:axId val="74045696"/>
      </c:scatterChart>
      <c:valAx>
        <c:axId val="74043392"/>
        <c:scaling>
          <c:logBase val="10"/>
          <c:orientation val="minMax"/>
          <c:max val="1200"/>
          <c:min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Measured Specific degradation (tons/km</a:t>
                </a:r>
                <a:r>
                  <a:rPr lang="en-US" sz="1800" b="1" i="0" baseline="30000">
                    <a:effectLst/>
                  </a:rPr>
                  <a:t>2</a:t>
                </a:r>
                <a:r>
                  <a:rPr lang="en-US" sz="1800" b="1" i="0" baseline="0">
                    <a:effectLst/>
                  </a:rPr>
                  <a:t>▪year)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0.28514149429978503"/>
              <c:y val="0.91710560498763005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74045696"/>
        <c:crosses val="autoZero"/>
        <c:crossBetween val="midCat"/>
      </c:valAx>
      <c:valAx>
        <c:axId val="74045696"/>
        <c:scaling>
          <c:logBase val="10"/>
          <c:orientation val="minMax"/>
          <c:max val="1000"/>
          <c:min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Calculated Specific degradation (tons/km</a:t>
                </a:r>
                <a:r>
                  <a:rPr lang="en-US" sz="1800" b="1" i="0" baseline="30000">
                    <a:effectLst/>
                  </a:rPr>
                  <a:t>2</a:t>
                </a:r>
                <a:r>
                  <a:rPr lang="en-US" sz="1800" b="1" i="0" baseline="0">
                    <a:effectLst/>
                  </a:rPr>
                  <a:t>▪year)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74043392"/>
        <c:crosses val="autoZero"/>
        <c:crossBetween val="midCat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9337965967573503"/>
          <c:y val="0.13569323954429302"/>
          <c:w val="0.15328083855751354"/>
          <c:h val="0.259614128803341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3 Variables Equation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836159459407801"/>
          <c:y val="0.11676047022753901"/>
          <c:w val="0.72933818197329703"/>
          <c:h val="0.72777178979990897"/>
        </c:manualLayout>
      </c:layout>
      <c:scatterChart>
        <c:scatterStyle val="lineMarker"/>
        <c:varyColors val="0"/>
        <c:ser>
          <c:idx val="0"/>
          <c:order val="0"/>
          <c:tx>
            <c:strRef>
              <c:f>BASE!$C$3</c:f>
              <c:strCache>
                <c:ptCount val="1"/>
                <c:pt idx="0">
                  <c:v>SD (dataset) </c:v>
                </c:pt>
              </c:strCache>
            </c:strRef>
          </c:tx>
          <c:spPr>
            <a:ln w="28575">
              <a:noFill/>
            </a:ln>
          </c:spPr>
          <c:xVal>
            <c:numRef>
              <c:f>BASE!$D$5:$D$33</c:f>
              <c:numCache>
                <c:formatCode>0</c:formatCode>
                <c:ptCount val="29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</c:numCache>
            </c:numRef>
          </c:xVal>
          <c:yVal>
            <c:numRef>
              <c:f>BASE!$C$82:$C$110</c:f>
              <c:numCache>
                <c:formatCode>0</c:formatCode>
                <c:ptCount val="29"/>
                <c:pt idx="0">
                  <c:v>61.545899636536483</c:v>
                </c:pt>
                <c:pt idx="1">
                  <c:v>209.97735584453056</c:v>
                </c:pt>
                <c:pt idx="2">
                  <c:v>92.902763848525879</c:v>
                </c:pt>
                <c:pt idx="3">
                  <c:v>197.9121294282408</c:v>
                </c:pt>
                <c:pt idx="4">
                  <c:v>140.68650023825654</c:v>
                </c:pt>
                <c:pt idx="5">
                  <c:v>50.497998995314525</c:v>
                </c:pt>
                <c:pt idx="6">
                  <c:v>104.70492603785372</c:v>
                </c:pt>
                <c:pt idx="7">
                  <c:v>75.634910606981208</c:v>
                </c:pt>
                <c:pt idx="8">
                  <c:v>61.152003128092865</c:v>
                </c:pt>
                <c:pt idx="9">
                  <c:v>65.197170479430596</c:v>
                </c:pt>
                <c:pt idx="10">
                  <c:v>54.375249476693625</c:v>
                </c:pt>
                <c:pt idx="11">
                  <c:v>55.584945273984779</c:v>
                </c:pt>
                <c:pt idx="12">
                  <c:v>70.96223787356297</c:v>
                </c:pt>
                <c:pt idx="13">
                  <c:v>36.595969660767977</c:v>
                </c:pt>
                <c:pt idx="14">
                  <c:v>39.899551040617773</c:v>
                </c:pt>
                <c:pt idx="15">
                  <c:v>39.676534946171785</c:v>
                </c:pt>
                <c:pt idx="16">
                  <c:v>76.944235778309007</c:v>
                </c:pt>
                <c:pt idx="17">
                  <c:v>96.122084530400926</c:v>
                </c:pt>
                <c:pt idx="18">
                  <c:v>68.059053227462726</c:v>
                </c:pt>
                <c:pt idx="19">
                  <c:v>236.47264387980206</c:v>
                </c:pt>
                <c:pt idx="20">
                  <c:v>100.41914183734933</c:v>
                </c:pt>
                <c:pt idx="21">
                  <c:v>135.77009207186958</c:v>
                </c:pt>
                <c:pt idx="22">
                  <c:v>67.310160262506642</c:v>
                </c:pt>
                <c:pt idx="23">
                  <c:v>99.750283211940996</c:v>
                </c:pt>
                <c:pt idx="24">
                  <c:v>148.35896614903874</c:v>
                </c:pt>
                <c:pt idx="25">
                  <c:v>246.77944499633432</c:v>
                </c:pt>
                <c:pt idx="26">
                  <c:v>170.50733576360008</c:v>
                </c:pt>
                <c:pt idx="27">
                  <c:v>109.79308532664095</c:v>
                </c:pt>
                <c:pt idx="28">
                  <c:v>73.40611137827463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BASE!$J$41</c:f>
              <c:strCache>
                <c:ptCount val="1"/>
                <c:pt idx="0">
                  <c:v>UP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BASE!$D$43:$D$73</c:f>
              <c:numCache>
                <c:formatCode>0</c:formatCode>
                <c:ptCount val="31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  <c:pt idx="29">
                  <c:v>10</c:v>
                </c:pt>
                <c:pt idx="30">
                  <c:v>1200</c:v>
                </c:pt>
              </c:numCache>
            </c:numRef>
          </c:xVal>
          <c:yVal>
            <c:numRef>
              <c:f>BASE!$J$82:$J$112</c:f>
              <c:numCache>
                <c:formatCode>0</c:formatCode>
                <c:ptCount val="31"/>
                <c:pt idx="0">
                  <c:v>587.98965496018172</c:v>
                </c:pt>
                <c:pt idx="1">
                  <c:v>2337.4005890513986</c:v>
                </c:pt>
                <c:pt idx="2">
                  <c:v>4859.5523348763381</c:v>
                </c:pt>
                <c:pt idx="3">
                  <c:v>1359.6496441613376</c:v>
                </c:pt>
                <c:pt idx="4">
                  <c:v>2000.6405591322189</c:v>
                </c:pt>
                <c:pt idx="5">
                  <c:v>109.40889536812566</c:v>
                </c:pt>
                <c:pt idx="6">
                  <c:v>398.06147037287838</c:v>
                </c:pt>
                <c:pt idx="7">
                  <c:v>329.29169510321037</c:v>
                </c:pt>
                <c:pt idx="8">
                  <c:v>169.45089589363721</c:v>
                </c:pt>
                <c:pt idx="9">
                  <c:v>252.44619993913591</c:v>
                </c:pt>
                <c:pt idx="10">
                  <c:v>211.01185165879176</c:v>
                </c:pt>
                <c:pt idx="11">
                  <c:v>280.14694054726385</c:v>
                </c:pt>
                <c:pt idx="12">
                  <c:v>219.21936749273456</c:v>
                </c:pt>
                <c:pt idx="13">
                  <c:v>86.409146835472939</c:v>
                </c:pt>
                <c:pt idx="14">
                  <c:v>203.07036618592346</c:v>
                </c:pt>
                <c:pt idx="15">
                  <c:v>255.91885635746729</c:v>
                </c:pt>
                <c:pt idx="16">
                  <c:v>437.36475717927863</c:v>
                </c:pt>
                <c:pt idx="17">
                  <c:v>148.80073994775475</c:v>
                </c:pt>
                <c:pt idx="18">
                  <c:v>663.12489881232705</c:v>
                </c:pt>
                <c:pt idx="19">
                  <c:v>557.2218953139336</c:v>
                </c:pt>
                <c:pt idx="20">
                  <c:v>562.86737712714921</c:v>
                </c:pt>
                <c:pt idx="21">
                  <c:v>668.16491480441323</c:v>
                </c:pt>
                <c:pt idx="22">
                  <c:v>263.53696644204439</c:v>
                </c:pt>
                <c:pt idx="23">
                  <c:v>429.91939453940245</c:v>
                </c:pt>
                <c:pt idx="24">
                  <c:v>550.43061975382545</c:v>
                </c:pt>
                <c:pt idx="25">
                  <c:v>721.8253101699637</c:v>
                </c:pt>
                <c:pt idx="26">
                  <c:v>201.84186539107455</c:v>
                </c:pt>
                <c:pt idx="27">
                  <c:v>178.00722789120275</c:v>
                </c:pt>
                <c:pt idx="28">
                  <c:v>199.22026225352468</c:v>
                </c:pt>
                <c:pt idx="29">
                  <c:v>44.095515413570368</c:v>
                </c:pt>
                <c:pt idx="30">
                  <c:v>5291.4618496284402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BASE!$I$3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BASE!$D$5:$D$33</c:f>
              <c:numCache>
                <c:formatCode>0</c:formatCode>
                <c:ptCount val="29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</c:numCache>
            </c:numRef>
          </c:xVal>
          <c:yVal>
            <c:numRef>
              <c:f>BASE!$K$82:$K$110</c:f>
              <c:numCache>
                <c:formatCode>0</c:formatCode>
                <c:ptCount val="29"/>
                <c:pt idx="0">
                  <c:v>30.239933981804267</c:v>
                </c:pt>
                <c:pt idx="1">
                  <c:v>120.21102566291124</c:v>
                </c:pt>
                <c:pt idx="2">
                  <c:v>249.92368581337539</c:v>
                </c:pt>
                <c:pt idx="3">
                  <c:v>69.92591643573536</c:v>
                </c:pt>
                <c:pt idx="4">
                  <c:v>102.89167151006301</c:v>
                </c:pt>
                <c:pt idx="5">
                  <c:v>5.626829902608236</c:v>
                </c:pt>
                <c:pt idx="6">
                  <c:v>20.472048246479655</c:v>
                </c:pt>
                <c:pt idx="7">
                  <c:v>16.935262443268392</c:v>
                </c:pt>
                <c:pt idx="8">
                  <c:v>8.714751801761178</c:v>
                </c:pt>
                <c:pt idx="9">
                  <c:v>12.983147502201872</c:v>
                </c:pt>
                <c:pt idx="10">
                  <c:v>10.852205323191026</c:v>
                </c:pt>
                <c:pt idx="11">
                  <c:v>14.407778973470881</c:v>
                </c:pt>
                <c:pt idx="12">
                  <c:v>11.274312642391831</c:v>
                </c:pt>
                <c:pt idx="13">
                  <c:v>4.4439674638590088</c:v>
                </c:pt>
                <c:pt idx="14">
                  <c:v>10.443779776259838</c:v>
                </c:pt>
                <c:pt idx="15">
                  <c:v>13.161744013120002</c:v>
                </c:pt>
                <c:pt idx="16">
                  <c:v>22.493391289281913</c:v>
                </c:pt>
                <c:pt idx="17">
                  <c:v>7.6527274153631923</c:v>
                </c:pt>
                <c:pt idx="18">
                  <c:v>34.1040917856512</c:v>
                </c:pt>
                <c:pt idx="19">
                  <c:v>28.657567672088202</c:v>
                </c:pt>
                <c:pt idx="20">
                  <c:v>28.947911211106224</c:v>
                </c:pt>
                <c:pt idx="21">
                  <c:v>34.363296602576483</c:v>
                </c:pt>
                <c:pt idx="22">
                  <c:v>13.55353856950437</c:v>
                </c:pt>
                <c:pt idx="23">
                  <c:v>22.110481024107802</c:v>
                </c:pt>
                <c:pt idx="24">
                  <c:v>28.308296689414504</c:v>
                </c:pt>
                <c:pt idx="25">
                  <c:v>37.123016607177</c:v>
                </c:pt>
                <c:pt idx="26">
                  <c:v>10.380598761731031</c:v>
                </c:pt>
                <c:pt idx="27">
                  <c:v>9.1547985144032626</c:v>
                </c:pt>
                <c:pt idx="28">
                  <c:v>10.245771379757159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BASE!$D$43:$D$73</c:f>
              <c:numCache>
                <c:formatCode>0</c:formatCode>
                <c:ptCount val="31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  <c:pt idx="29">
                  <c:v>10</c:v>
                </c:pt>
                <c:pt idx="30">
                  <c:v>1200</c:v>
                </c:pt>
              </c:numCache>
            </c:numRef>
          </c:xVal>
          <c:yVal>
            <c:numRef>
              <c:f>BASE!$D$43:$D$73</c:f>
              <c:numCache>
                <c:formatCode>0</c:formatCode>
                <c:ptCount val="31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  <c:pt idx="29">
                  <c:v>10</c:v>
                </c:pt>
                <c:pt idx="30">
                  <c:v>1200</c:v>
                </c:pt>
              </c:numCache>
            </c:numRef>
          </c:yVal>
          <c:smooth val="0"/>
        </c:ser>
        <c:ser>
          <c:idx val="4"/>
          <c:order val="4"/>
          <c:tx>
            <c:v>SD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</c:spPr>
          </c:marker>
          <c:dPt>
            <c:idx val="0"/>
            <c:marker>
              <c:symbol val="diamond"/>
              <c:size val="20"/>
            </c:marker>
            <c:bubble3D val="0"/>
          </c:dPt>
          <c:xVal>
            <c:numRef>
              <c:f>BASE!$C$113</c:f>
              <c:numCache>
                <c:formatCode>0</c:formatCode>
                <c:ptCount val="1"/>
                <c:pt idx="0">
                  <c:v>45.331593205312721</c:v>
                </c:pt>
              </c:numCache>
            </c:numRef>
          </c:xVal>
          <c:yVal>
            <c:numRef>
              <c:f>BASE!$C$113</c:f>
              <c:numCache>
                <c:formatCode>0</c:formatCode>
                <c:ptCount val="1"/>
                <c:pt idx="0">
                  <c:v>45.331593205312721</c:v>
                </c:pt>
              </c:numCache>
            </c:numRef>
          </c:yVal>
          <c:smooth val="0"/>
        </c:ser>
        <c:ser>
          <c:idx val="5"/>
          <c:order val="5"/>
          <c:tx>
            <c:v>SD PI (up)</c:v>
          </c:tx>
          <c:spPr>
            <a:ln w="28575">
              <a:noFill/>
            </a:ln>
          </c:spPr>
          <c:marker>
            <c:symbol val="diamond"/>
            <c:size val="20"/>
            <c:spPr>
              <a:solidFill>
                <a:srgbClr val="00B050"/>
              </a:solidFill>
            </c:spPr>
          </c:marker>
          <c:xVal>
            <c:numRef>
              <c:f>BASE!$J$113</c:f>
              <c:numCache>
                <c:formatCode>0</c:formatCode>
                <c:ptCount val="1"/>
                <c:pt idx="0">
                  <c:v>199.89199669065698</c:v>
                </c:pt>
              </c:numCache>
            </c:numRef>
          </c:xVal>
          <c:yVal>
            <c:numRef>
              <c:f>BASE!$C$113</c:f>
              <c:numCache>
                <c:formatCode>0</c:formatCode>
                <c:ptCount val="1"/>
                <c:pt idx="0">
                  <c:v>45.331593205312721</c:v>
                </c:pt>
              </c:numCache>
            </c:numRef>
          </c:yVal>
          <c:smooth val="0"/>
        </c:ser>
        <c:ser>
          <c:idx val="6"/>
          <c:order val="6"/>
          <c:tx>
            <c:v>SD PI (down)</c:v>
          </c:tx>
          <c:spPr>
            <a:ln w="28575">
              <a:noFill/>
            </a:ln>
          </c:spPr>
          <c:marker>
            <c:symbol val="diamond"/>
            <c:size val="20"/>
            <c:spPr>
              <a:solidFill>
                <a:srgbClr val="00B050"/>
              </a:solidFill>
            </c:spPr>
          </c:marker>
          <c:xVal>
            <c:numRef>
              <c:f>BASE!$K$113</c:f>
              <c:numCache>
                <c:formatCode>0</c:formatCode>
                <c:ptCount val="1"/>
                <c:pt idx="0">
                  <c:v>10.280318254622772</c:v>
                </c:pt>
              </c:numCache>
            </c:numRef>
          </c:xVal>
          <c:yVal>
            <c:numRef>
              <c:f>BASE!$C$113</c:f>
              <c:numCache>
                <c:formatCode>0</c:formatCode>
                <c:ptCount val="1"/>
                <c:pt idx="0">
                  <c:v>45.331593205312721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24288"/>
        <c:axId val="96135040"/>
      </c:scatterChart>
      <c:valAx>
        <c:axId val="96124288"/>
        <c:scaling>
          <c:logBase val="10"/>
          <c:orientation val="minMax"/>
          <c:max val="1200"/>
          <c:min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Measured Specific degradation (tons/km</a:t>
                </a:r>
                <a:r>
                  <a:rPr lang="en-US" sz="1800" b="1" i="0" baseline="30000">
                    <a:effectLst/>
                  </a:rPr>
                  <a:t>2</a:t>
                </a:r>
                <a:r>
                  <a:rPr lang="en-US" sz="1800" b="1" i="0" baseline="0">
                    <a:effectLst/>
                  </a:rPr>
                  <a:t>▪year)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0.28514149429978503"/>
              <c:y val="0.91710560498763005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96135040"/>
        <c:crosses val="autoZero"/>
        <c:crossBetween val="midCat"/>
      </c:valAx>
      <c:valAx>
        <c:axId val="96135040"/>
        <c:scaling>
          <c:logBase val="10"/>
          <c:orientation val="minMax"/>
          <c:max val="1000"/>
          <c:min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Calculated Specific degradation (tons/km</a:t>
                </a:r>
                <a:r>
                  <a:rPr lang="en-US" sz="1800" b="1" i="0" baseline="30000">
                    <a:effectLst/>
                  </a:rPr>
                  <a:t>2</a:t>
                </a:r>
                <a:r>
                  <a:rPr lang="en-US" sz="1800" b="1" i="0" baseline="0">
                    <a:effectLst/>
                  </a:rPr>
                  <a:t>▪year)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6124288"/>
        <c:crosses val="autoZero"/>
        <c:crossBetween val="midCat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204022938805966"/>
          <c:y val="0.13806708815131499"/>
          <c:w val="0.15554521634453"/>
          <c:h val="0.246671570555400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4 Variables Equation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836159459407801"/>
          <c:y val="0.11676047022753901"/>
          <c:w val="0.72933818197329703"/>
          <c:h val="0.72777178979990897"/>
        </c:manualLayout>
      </c:layout>
      <c:scatterChart>
        <c:scatterStyle val="lineMarker"/>
        <c:varyColors val="0"/>
        <c:ser>
          <c:idx val="0"/>
          <c:order val="0"/>
          <c:tx>
            <c:strRef>
              <c:f>BASE!$C$3</c:f>
              <c:strCache>
                <c:ptCount val="1"/>
                <c:pt idx="0">
                  <c:v>SD (dataset) </c:v>
                </c:pt>
              </c:strCache>
            </c:strRef>
          </c:tx>
          <c:spPr>
            <a:ln w="28575">
              <a:noFill/>
            </a:ln>
          </c:spPr>
          <c:xVal>
            <c:numRef>
              <c:f>BASE!$D$121:$D$149</c:f>
              <c:numCache>
                <c:formatCode>0</c:formatCode>
                <c:ptCount val="29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</c:numCache>
            </c:numRef>
          </c:xVal>
          <c:yVal>
            <c:numRef>
              <c:f>BASE!$C$121:$C$149</c:f>
              <c:numCache>
                <c:formatCode>General</c:formatCode>
                <c:ptCount val="29"/>
                <c:pt idx="0">
                  <c:v>61.700836875614065</c:v>
                </c:pt>
                <c:pt idx="1">
                  <c:v>277.25741171090056</c:v>
                </c:pt>
                <c:pt idx="2">
                  <c:v>184.83885230444076</c:v>
                </c:pt>
                <c:pt idx="3">
                  <c:v>440.78423707716661</c:v>
                </c:pt>
                <c:pt idx="4">
                  <c:v>220.63758073079194</c:v>
                </c:pt>
                <c:pt idx="5">
                  <c:v>39.309138584893283</c:v>
                </c:pt>
                <c:pt idx="6">
                  <c:v>90.865294345783838</c:v>
                </c:pt>
                <c:pt idx="7">
                  <c:v>107.3645306335914</c:v>
                </c:pt>
                <c:pt idx="8">
                  <c:v>62.1124604493641</c:v>
                </c:pt>
                <c:pt idx="9">
                  <c:v>84.738302346756583</c:v>
                </c:pt>
                <c:pt idx="10">
                  <c:v>55.198719609517184</c:v>
                </c:pt>
                <c:pt idx="11">
                  <c:v>92.79896465586414</c:v>
                </c:pt>
                <c:pt idx="12">
                  <c:v>23.163160761169017</c:v>
                </c:pt>
                <c:pt idx="13">
                  <c:v>41.217711940124509</c:v>
                </c:pt>
                <c:pt idx="14">
                  <c:v>41.555547714694526</c:v>
                </c:pt>
                <c:pt idx="15">
                  <c:v>45.443665028535101</c:v>
                </c:pt>
                <c:pt idx="16">
                  <c:v>80.409949854564729</c:v>
                </c:pt>
                <c:pt idx="17">
                  <c:v>81.396489303063248</c:v>
                </c:pt>
                <c:pt idx="18">
                  <c:v>122.65602280636992</c:v>
                </c:pt>
                <c:pt idx="19">
                  <c:v>319.03578756275527</c:v>
                </c:pt>
                <c:pt idx="20">
                  <c:v>132.38976914661035</c:v>
                </c:pt>
                <c:pt idx="21">
                  <c:v>195.16749986295585</c:v>
                </c:pt>
                <c:pt idx="22">
                  <c:v>50.427100156317742</c:v>
                </c:pt>
                <c:pt idx="23">
                  <c:v>43.976761640720156</c:v>
                </c:pt>
                <c:pt idx="24">
                  <c:v>91.808147621762203</c:v>
                </c:pt>
                <c:pt idx="25">
                  <c:v>182.50955804991503</c:v>
                </c:pt>
                <c:pt idx="26">
                  <c:v>72.974326788379173</c:v>
                </c:pt>
                <c:pt idx="27">
                  <c:v>72.17052924244939</c:v>
                </c:pt>
                <c:pt idx="28">
                  <c:v>54.00550206456434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BASE!$J$41</c:f>
              <c:strCache>
                <c:ptCount val="1"/>
                <c:pt idx="0">
                  <c:v>UP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BASE!$D$121:$D$151</c:f>
              <c:numCache>
                <c:formatCode>0</c:formatCode>
                <c:ptCount val="31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  <c:pt idx="29">
                  <c:v>10</c:v>
                </c:pt>
                <c:pt idx="30">
                  <c:v>1200</c:v>
                </c:pt>
              </c:numCache>
            </c:numRef>
          </c:xVal>
          <c:yVal>
            <c:numRef>
              <c:f>BASE!$J$121:$J$151</c:f>
              <c:numCache>
                <c:formatCode>0.00</c:formatCode>
                <c:ptCount val="31"/>
                <c:pt idx="0">
                  <c:v>432.40478903181616</c:v>
                </c:pt>
                <c:pt idx="1">
                  <c:v>1718.9132496898385</c:v>
                </c:pt>
                <c:pt idx="2">
                  <c:v>3573.6916192744493</c:v>
                </c:pt>
                <c:pt idx="3">
                  <c:v>999.87986622074447</c:v>
                </c:pt>
                <c:pt idx="4">
                  <c:v>1471.2615291822535</c:v>
                </c:pt>
                <c:pt idx="5">
                  <c:v>80.4587800495609</c:v>
                </c:pt>
                <c:pt idx="6">
                  <c:v>292.73250756415962</c:v>
                </c:pt>
                <c:pt idx="7">
                  <c:v>242.15954268902112</c:v>
                </c:pt>
                <c:pt idx="8">
                  <c:v>124.61338098729371</c:v>
                </c:pt>
                <c:pt idx="9">
                  <c:v>185.64773190432732</c:v>
                </c:pt>
                <c:pt idx="10">
                  <c:v>155.17710971617626</c:v>
                </c:pt>
                <c:pt idx="11">
                  <c:v>206.01872448496002</c:v>
                </c:pt>
                <c:pt idx="12">
                  <c:v>161.21287773133261</c:v>
                </c:pt>
                <c:pt idx="13">
                  <c:v>63.54487462937113</c:v>
                </c:pt>
                <c:pt idx="14">
                  <c:v>149.33697916026156</c:v>
                </c:pt>
                <c:pt idx="15">
                  <c:v>188.20150687856636</c:v>
                </c:pt>
                <c:pt idx="16">
                  <c:v>321.63595730415437</c:v>
                </c:pt>
                <c:pt idx="17">
                  <c:v>109.42735475379111</c:v>
                </c:pt>
                <c:pt idx="18">
                  <c:v>487.65888915529808</c:v>
                </c:pt>
                <c:pt idx="19">
                  <c:v>409.77832527248682</c:v>
                </c:pt>
                <c:pt idx="20">
                  <c:v>413.92998568323293</c:v>
                </c:pt>
                <c:pt idx="21">
                  <c:v>491.36529288772874</c:v>
                </c:pt>
                <c:pt idx="22">
                  <c:v>193.80382871561568</c:v>
                </c:pt>
                <c:pt idx="23">
                  <c:v>316.16067311436871</c:v>
                </c:pt>
                <c:pt idx="24">
                  <c:v>404.78405360281806</c:v>
                </c:pt>
                <c:pt idx="25">
                  <c:v>530.82689181496789</c:v>
                </c:pt>
                <c:pt idx="26">
                  <c:v>148.4335455325762</c:v>
                </c:pt>
                <c:pt idx="27">
                  <c:v>130.9056667462057</c:v>
                </c:pt>
                <c:pt idx="28">
                  <c:v>146.50563108364909</c:v>
                </c:pt>
                <c:pt idx="29">
                  <c:v>32.427631810878253</c:v>
                </c:pt>
                <c:pt idx="30">
                  <c:v>3891.3158173053898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BASE!$I$3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BASE!$D$121:$D$149</c:f>
              <c:numCache>
                <c:formatCode>0</c:formatCode>
                <c:ptCount val="29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</c:numCache>
            </c:numRef>
          </c:xVal>
          <c:yVal>
            <c:numRef>
              <c:f>BASE!$K$121:$K$149</c:f>
              <c:numCache>
                <c:formatCode>0.00</c:formatCode>
                <c:ptCount val="29"/>
                <c:pt idx="0">
                  <c:v>41.12065545756812</c:v>
                </c:pt>
                <c:pt idx="1">
                  <c:v>163.46451587691331</c:v>
                </c:pt>
                <c:pt idx="2">
                  <c:v>339.84947788580223</c:v>
                </c:pt>
                <c:pt idx="3">
                  <c:v>95.086170460515461</c:v>
                </c:pt>
                <c:pt idx="4">
                  <c:v>139.91343288528367</c:v>
                </c:pt>
                <c:pt idx="5">
                  <c:v>7.6514364708176448</c:v>
                </c:pt>
                <c:pt idx="6">
                  <c:v>27.838157416637813</c:v>
                </c:pt>
                <c:pt idx="7">
                  <c:v>23.028790090353983</c:v>
                </c:pt>
                <c:pt idx="8">
                  <c:v>11.850432823499872</c:v>
                </c:pt>
                <c:pt idx="9">
                  <c:v>17.654652801625453</c:v>
                </c:pt>
                <c:pt idx="10">
                  <c:v>14.756969916608908</c:v>
                </c:pt>
                <c:pt idx="11">
                  <c:v>19.591885201646921</c:v>
                </c:pt>
                <c:pt idx="12">
                  <c:v>15.330956938188319</c:v>
                </c:pt>
                <c:pt idx="13">
                  <c:v>6.0429647450932054</c:v>
                </c:pt>
                <c:pt idx="14">
                  <c:v>14.201587546874512</c:v>
                </c:pt>
                <c:pt idx="15">
                  <c:v>17.897510659576035</c:v>
                </c:pt>
                <c:pt idx="16">
                  <c:v>30.58680597105057</c:v>
                </c:pt>
                <c:pt idx="17">
                  <c:v>10.406278252696769</c:v>
                </c:pt>
                <c:pt idx="18">
                  <c:v>46.375187487342828</c:v>
                </c:pt>
                <c:pt idx="19">
                  <c:v>38.968933173099856</c:v>
                </c:pt>
                <c:pt idx="20">
                  <c:v>39.363746092978396</c:v>
                </c:pt>
                <c:pt idx="21">
                  <c:v>46.72765756800306</c:v>
                </c:pt>
                <c:pt idx="22">
                  <c:v>18.430277992101523</c:v>
                </c:pt>
                <c:pt idx="23">
                  <c:v>30.066119613240897</c:v>
                </c:pt>
                <c:pt idx="24">
                  <c:v>38.493989949067227</c:v>
                </c:pt>
                <c:pt idx="25">
                  <c:v>50.480360716654737</c:v>
                </c:pt>
                <c:pt idx="26">
                  <c:v>14.115673181735289</c:v>
                </c:pt>
                <c:pt idx="27">
                  <c:v>12.448814065558095</c:v>
                </c:pt>
                <c:pt idx="28">
                  <c:v>13.932333154480952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BASE!$D$121:$D$151</c:f>
              <c:numCache>
                <c:formatCode>0</c:formatCode>
                <c:ptCount val="31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  <c:pt idx="29">
                  <c:v>10</c:v>
                </c:pt>
                <c:pt idx="30">
                  <c:v>1200</c:v>
                </c:pt>
              </c:numCache>
            </c:numRef>
          </c:xVal>
          <c:yVal>
            <c:numRef>
              <c:f>BASE!$D$43:$D$73</c:f>
              <c:numCache>
                <c:formatCode>0</c:formatCode>
                <c:ptCount val="31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  <c:pt idx="29">
                  <c:v>10</c:v>
                </c:pt>
                <c:pt idx="30">
                  <c:v>1200</c:v>
                </c:pt>
              </c:numCache>
            </c:numRef>
          </c:yVal>
          <c:smooth val="0"/>
        </c:ser>
        <c:ser>
          <c:idx val="4"/>
          <c:order val="4"/>
          <c:tx>
            <c:v>SD</c:v>
          </c:tx>
          <c:spPr>
            <a:ln w="28575">
              <a:noFill/>
            </a:ln>
          </c:spPr>
          <c:marker>
            <c:symbol val="diamond"/>
            <c:size val="20"/>
            <c:spPr>
              <a:solidFill>
                <a:schemeClr val="tx1"/>
              </a:solidFill>
            </c:spPr>
          </c:marker>
          <c:xVal>
            <c:numRef>
              <c:f>BASE!$C$152</c:f>
              <c:numCache>
                <c:formatCode>0</c:formatCode>
                <c:ptCount val="1"/>
                <c:pt idx="0">
                  <c:v>24.327662236612944</c:v>
                </c:pt>
              </c:numCache>
            </c:numRef>
          </c:xVal>
          <c:yVal>
            <c:numRef>
              <c:f>BASE!$C$152</c:f>
              <c:numCache>
                <c:formatCode>0</c:formatCode>
                <c:ptCount val="1"/>
                <c:pt idx="0">
                  <c:v>24.327662236612944</c:v>
                </c:pt>
              </c:numCache>
            </c:numRef>
          </c:yVal>
          <c:smooth val="0"/>
        </c:ser>
        <c:ser>
          <c:idx val="5"/>
          <c:order val="5"/>
          <c:tx>
            <c:v>SD PI (up)</c:v>
          </c:tx>
          <c:spPr>
            <a:ln w="28575">
              <a:noFill/>
            </a:ln>
          </c:spPr>
          <c:marker>
            <c:symbol val="diamond"/>
            <c:size val="20"/>
            <c:spPr>
              <a:solidFill>
                <a:srgbClr val="00B050"/>
              </a:solidFill>
            </c:spPr>
          </c:marker>
          <c:xVal>
            <c:numRef>
              <c:f>BASE!$J$152</c:f>
              <c:numCache>
                <c:formatCode>0.00</c:formatCode>
                <c:ptCount val="1"/>
                <c:pt idx="0">
                  <c:v>78.888847382829141</c:v>
                </c:pt>
              </c:numCache>
            </c:numRef>
          </c:xVal>
          <c:yVal>
            <c:numRef>
              <c:f>BASE!$C$152</c:f>
              <c:numCache>
                <c:formatCode>0</c:formatCode>
                <c:ptCount val="1"/>
                <c:pt idx="0">
                  <c:v>24.327662236612944</c:v>
                </c:pt>
              </c:numCache>
            </c:numRef>
          </c:yVal>
          <c:smooth val="0"/>
        </c:ser>
        <c:ser>
          <c:idx val="6"/>
          <c:order val="6"/>
          <c:tx>
            <c:v>SD PI (down)</c:v>
          </c:tx>
          <c:spPr>
            <a:ln w="28575">
              <a:noFill/>
            </a:ln>
          </c:spPr>
          <c:marker>
            <c:symbol val="diamond"/>
            <c:size val="20"/>
            <c:spPr>
              <a:solidFill>
                <a:srgbClr val="00B050"/>
              </a:solidFill>
            </c:spPr>
          </c:marker>
          <c:xVal>
            <c:numRef>
              <c:f>BASE!$K$152</c:f>
              <c:numCache>
                <c:formatCode>0.00</c:formatCode>
                <c:ptCount val="1"/>
                <c:pt idx="0">
                  <c:v>7.5021396500659492</c:v>
                </c:pt>
              </c:numCache>
            </c:numRef>
          </c:xVal>
          <c:yVal>
            <c:numRef>
              <c:f>BASE!$C$152</c:f>
              <c:numCache>
                <c:formatCode>0</c:formatCode>
                <c:ptCount val="1"/>
                <c:pt idx="0">
                  <c:v>24.327662236612944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89984"/>
        <c:axId val="98096640"/>
      </c:scatterChart>
      <c:valAx>
        <c:axId val="98089984"/>
        <c:scaling>
          <c:logBase val="10"/>
          <c:orientation val="minMax"/>
          <c:max val="1200"/>
          <c:min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Measured Specific degradation (tons/km</a:t>
                </a:r>
                <a:r>
                  <a:rPr lang="en-US" sz="1800" b="1" i="0" baseline="30000">
                    <a:effectLst/>
                  </a:rPr>
                  <a:t>2</a:t>
                </a:r>
                <a:r>
                  <a:rPr lang="en-US" sz="1800" b="1" i="0" baseline="0">
                    <a:effectLst/>
                  </a:rPr>
                  <a:t>▪year)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0.28514149429978503"/>
              <c:y val="0.91710560498763005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98096640"/>
        <c:crosses val="autoZero"/>
        <c:crossBetween val="midCat"/>
      </c:valAx>
      <c:valAx>
        <c:axId val="98096640"/>
        <c:scaling>
          <c:logBase val="10"/>
          <c:orientation val="minMax"/>
          <c:max val="1000"/>
          <c:min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Calculated Specific degradation (tons/km</a:t>
                </a:r>
                <a:r>
                  <a:rPr lang="en-US" sz="1800" b="1" i="0" baseline="30000">
                    <a:effectLst/>
                  </a:rPr>
                  <a:t>2</a:t>
                </a:r>
                <a:r>
                  <a:rPr lang="en-US" sz="1800" b="1" i="0" baseline="0">
                    <a:effectLst/>
                  </a:rPr>
                  <a:t>▪year)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089984"/>
        <c:crosses val="autoZero"/>
        <c:crossBetween val="midCat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213615813286959"/>
          <c:y val="0.126052769114225"/>
          <c:w val="0.15850377436288399"/>
          <c:h val="0.235573069010774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5 Variables Equation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836159459407801"/>
          <c:y val="0.11676047022753901"/>
          <c:w val="0.72933818197329703"/>
          <c:h val="0.72777178979990897"/>
        </c:manualLayout>
      </c:layout>
      <c:scatterChart>
        <c:scatterStyle val="lineMarker"/>
        <c:varyColors val="0"/>
        <c:ser>
          <c:idx val="0"/>
          <c:order val="0"/>
          <c:tx>
            <c:strRef>
              <c:f>BASE!$C$3</c:f>
              <c:strCache>
                <c:ptCount val="1"/>
                <c:pt idx="0">
                  <c:v>SD (dataset) </c:v>
                </c:pt>
              </c:strCache>
            </c:strRef>
          </c:tx>
          <c:spPr>
            <a:ln w="28575">
              <a:noFill/>
            </a:ln>
          </c:spPr>
          <c:xVal>
            <c:numRef>
              <c:f>BASE!$D$121:$D$149</c:f>
              <c:numCache>
                <c:formatCode>0</c:formatCode>
                <c:ptCount val="29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</c:numCache>
            </c:numRef>
          </c:xVal>
          <c:yVal>
            <c:numRef>
              <c:f>BASE!$C$159:$C$186</c:f>
              <c:numCache>
                <c:formatCode>General</c:formatCode>
                <c:ptCount val="28"/>
                <c:pt idx="0">
                  <c:v>62.332304590785178</c:v>
                </c:pt>
                <c:pt idx="1">
                  <c:v>303.22602944545378</c:v>
                </c:pt>
                <c:pt idx="2">
                  <c:v>162.18482366635465</c:v>
                </c:pt>
                <c:pt idx="3">
                  <c:v>568.51338448853153</c:v>
                </c:pt>
                <c:pt idx="4">
                  <c:v>237.34913588841872</c:v>
                </c:pt>
                <c:pt idx="5">
                  <c:v>40.500235514871328</c:v>
                </c:pt>
                <c:pt idx="6">
                  <c:v>82.797690566517645</c:v>
                </c:pt>
                <c:pt idx="7">
                  <c:v>107.8175965854817</c:v>
                </c:pt>
                <c:pt idx="8">
                  <c:v>56.92312648469612</c:v>
                </c:pt>
                <c:pt idx="9">
                  <c:v>80.210969022096052</c:v>
                </c:pt>
                <c:pt idx="10">
                  <c:v>52.448049599772943</c:v>
                </c:pt>
                <c:pt idx="11">
                  <c:v>86.466833934863175</c:v>
                </c:pt>
                <c:pt idx="12">
                  <c:v>23.154649033371818</c:v>
                </c:pt>
                <c:pt idx="13">
                  <c:v>42.8707824398779</c:v>
                </c:pt>
                <c:pt idx="14">
                  <c:v>43.64717588846684</c:v>
                </c:pt>
                <c:pt idx="15">
                  <c:v>46.914718912615228</c:v>
                </c:pt>
                <c:pt idx="16">
                  <c:v>84.394075853934226</c:v>
                </c:pt>
                <c:pt idx="17">
                  <c:v>79.811785102188807</c:v>
                </c:pt>
                <c:pt idx="18">
                  <c:v>119.27255628108986</c:v>
                </c:pt>
                <c:pt idx="19">
                  <c:v>260.14141442300007</c:v>
                </c:pt>
                <c:pt idx="20">
                  <c:v>128.56248894229165</c:v>
                </c:pt>
                <c:pt idx="21">
                  <c:v>199.48516481498723</c:v>
                </c:pt>
                <c:pt idx="22">
                  <c:v>49.192430418835222</c:v>
                </c:pt>
                <c:pt idx="23">
                  <c:v>51.514842126018145</c:v>
                </c:pt>
                <c:pt idx="24">
                  <c:v>92.762039786544705</c:v>
                </c:pt>
                <c:pt idx="25">
                  <c:v>175.41878043634557</c:v>
                </c:pt>
                <c:pt idx="26">
                  <c:v>66.325542690550506</c:v>
                </c:pt>
                <c:pt idx="27">
                  <c:v>73.166178409923205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BASE!$J$41</c:f>
              <c:strCache>
                <c:ptCount val="1"/>
                <c:pt idx="0">
                  <c:v>UP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BASE!$D$121:$D$151</c:f>
              <c:numCache>
                <c:formatCode>0</c:formatCode>
                <c:ptCount val="31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  <c:pt idx="29">
                  <c:v>10</c:v>
                </c:pt>
                <c:pt idx="30">
                  <c:v>1200</c:v>
                </c:pt>
              </c:numCache>
            </c:numRef>
          </c:xVal>
          <c:yVal>
            <c:numRef>
              <c:f>BASE!$J$159:$J$189</c:f>
              <c:numCache>
                <c:formatCode>0.00</c:formatCode>
                <c:ptCount val="31"/>
                <c:pt idx="0">
                  <c:v>426.91710222023818</c:v>
                </c:pt>
                <c:pt idx="1">
                  <c:v>1697.0983720339032</c:v>
                </c:pt>
                <c:pt idx="2">
                  <c:v>3528.3375879010914</c:v>
                </c:pt>
                <c:pt idx="3">
                  <c:v>987.1903038148605</c:v>
                </c:pt>
                <c:pt idx="4">
                  <c:v>1452.5896210654325</c:v>
                </c:pt>
                <c:pt idx="5">
                  <c:v>79.437670669291819</c:v>
                </c:pt>
                <c:pt idx="6">
                  <c:v>289.01741383294336</c:v>
                </c:pt>
                <c:pt idx="7">
                  <c:v>239.08627485660912</c:v>
                </c:pt>
                <c:pt idx="8">
                  <c:v>123.03190172356661</c:v>
                </c:pt>
                <c:pt idx="9">
                  <c:v>183.29166038104043</c:v>
                </c:pt>
                <c:pt idx="10">
                  <c:v>153.20774351106331</c:v>
                </c:pt>
                <c:pt idx="11">
                  <c:v>203.40412292186068</c:v>
                </c:pt>
                <c:pt idx="12">
                  <c:v>159.16691106902135</c:v>
                </c:pt>
                <c:pt idx="13">
                  <c:v>62.73842109487682</c:v>
                </c:pt>
                <c:pt idx="14">
                  <c:v>147.44173056032429</c:v>
                </c:pt>
                <c:pt idx="15">
                  <c:v>185.81302517481566</c:v>
                </c:pt>
                <c:pt idx="16">
                  <c:v>317.55404737670125</c:v>
                </c:pt>
                <c:pt idx="17">
                  <c:v>108.03860267069598</c:v>
                </c:pt>
                <c:pt idx="18">
                  <c:v>481.46996775005999</c:v>
                </c:pt>
                <c:pt idx="19">
                  <c:v>404.57779288175237</c:v>
                </c:pt>
                <c:pt idx="20">
                  <c:v>408.67676420888955</c:v>
                </c:pt>
                <c:pt idx="21">
                  <c:v>485.12933319013825</c:v>
                </c:pt>
                <c:pt idx="22">
                  <c:v>191.34424745783792</c:v>
                </c:pt>
                <c:pt idx="23">
                  <c:v>312.14825049510472</c:v>
                </c:pt>
                <c:pt idx="24">
                  <c:v>399.64690394851624</c:v>
                </c:pt>
                <c:pt idx="25">
                  <c:v>524.09012153088622</c:v>
                </c:pt>
                <c:pt idx="26">
                  <c:v>146.54976248743745</c:v>
                </c:pt>
                <c:pt idx="27">
                  <c:v>129.24433153626848</c:v>
                </c:pt>
                <c:pt idx="28">
                  <c:v>144.64631536857618</c:v>
                </c:pt>
                <c:pt idx="29">
                  <c:v>32.016089913255605</c:v>
                </c:pt>
                <c:pt idx="30">
                  <c:v>3841.930789590675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BASE!$I$3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BASE!$D$121:$D$149</c:f>
              <c:numCache>
                <c:formatCode>0</c:formatCode>
                <c:ptCount val="29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</c:numCache>
            </c:numRef>
          </c:xVal>
          <c:yVal>
            <c:numRef>
              <c:f>BASE!$K$159:$K$187</c:f>
              <c:numCache>
                <c:formatCode>0.00</c:formatCode>
                <c:ptCount val="29"/>
                <c:pt idx="0">
                  <c:v>41.649229453466603</c:v>
                </c:pt>
                <c:pt idx="1">
                  <c:v>165.56572490150739</c:v>
                </c:pt>
                <c:pt idx="2">
                  <c:v>344.21797820592667</c:v>
                </c:pt>
                <c:pt idx="3">
                  <c:v>96.308429116554208</c:v>
                </c:pt>
                <c:pt idx="4">
                  <c:v>141.71191108260609</c:v>
                </c:pt>
                <c:pt idx="5">
                  <c:v>7.749789726735866</c:v>
                </c:pt>
                <c:pt idx="6">
                  <c:v>28.195995246322848</c:v>
                </c:pt>
                <c:pt idx="7">
                  <c:v>23.324807249208039</c:v>
                </c:pt>
                <c:pt idx="8">
                  <c:v>12.002760906818182</c:v>
                </c:pt>
                <c:pt idx="9">
                  <c:v>17.881589611696114</c:v>
                </c:pt>
                <c:pt idx="10">
                  <c:v>14.946659270277513</c:v>
                </c:pt>
                <c:pt idx="11">
                  <c:v>19.843723625256303</c:v>
                </c:pt>
                <c:pt idx="12">
                  <c:v>15.52802444792507</c:v>
                </c:pt>
                <c:pt idx="13">
                  <c:v>6.1206423498600708</c:v>
                </c:pt>
                <c:pt idx="14">
                  <c:v>14.384137892782769</c:v>
                </c:pt>
                <c:pt idx="15">
                  <c:v>18.127569218242002</c:v>
                </c:pt>
                <c:pt idx="16">
                  <c:v>30.979975536904703</c:v>
                </c:pt>
                <c:pt idx="17">
                  <c:v>10.540042853899084</c:v>
                </c:pt>
                <c:pt idx="18">
                  <c:v>46.971304399584653</c:v>
                </c:pt>
                <c:pt idx="19">
                  <c:v>39.469848455067108</c:v>
                </c:pt>
                <c:pt idx="20">
                  <c:v>39.869736387500069</c:v>
                </c:pt>
                <c:pt idx="21">
                  <c:v>47.328305208583146</c:v>
                </c:pt>
                <c:pt idx="22">
                  <c:v>18.667184859839978</c:v>
                </c:pt>
                <c:pt idx="23">
                  <c:v>30.452596161542299</c:v>
                </c:pt>
                <c:pt idx="24">
                  <c:v>38.988800205835886</c:v>
                </c:pt>
                <c:pt idx="25">
                  <c:v>51.129246433127143</c:v>
                </c:pt>
                <c:pt idx="26">
                  <c:v>14.297119165400742</c:v>
                </c:pt>
                <c:pt idx="27">
                  <c:v>12.60883387364747</c:v>
                </c:pt>
                <c:pt idx="28">
                  <c:v>14.111422444904631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BASE!$D$159:$D$189</c:f>
              <c:numCache>
                <c:formatCode>0</c:formatCode>
                <c:ptCount val="31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  <c:pt idx="29">
                  <c:v>10</c:v>
                </c:pt>
                <c:pt idx="30">
                  <c:v>1200</c:v>
                </c:pt>
              </c:numCache>
            </c:numRef>
          </c:xVal>
          <c:yVal>
            <c:numRef>
              <c:f>BASE!$D$159:$D$189</c:f>
              <c:numCache>
                <c:formatCode>0</c:formatCode>
                <c:ptCount val="31"/>
                <c:pt idx="0">
                  <c:v>133.3445475</c:v>
                </c:pt>
                <c:pt idx="1">
                  <c:v>530.07671349999998</c:v>
                </c:pt>
                <c:pt idx="2">
                  <c:v>1102.0513739999999</c:v>
                </c:pt>
                <c:pt idx="3">
                  <c:v>308.34193260000001</c:v>
                </c:pt>
                <c:pt idx="4">
                  <c:v>453.70612870000002</c:v>
                </c:pt>
                <c:pt idx="5">
                  <c:v>24.811796470000001</c:v>
                </c:pt>
                <c:pt idx="6">
                  <c:v>90.272551899999996</c:v>
                </c:pt>
                <c:pt idx="7">
                  <c:v>74.676912610000002</c:v>
                </c:pt>
                <c:pt idx="8">
                  <c:v>38.428147240000001</c:v>
                </c:pt>
                <c:pt idx="9">
                  <c:v>57.249858080000003</c:v>
                </c:pt>
                <c:pt idx="10">
                  <c:v>47.853358710000002</c:v>
                </c:pt>
                <c:pt idx="11">
                  <c:v>63.531843979999998</c:v>
                </c:pt>
                <c:pt idx="12">
                  <c:v>49.714662689999997</c:v>
                </c:pt>
                <c:pt idx="13">
                  <c:v>19.595903580000002</c:v>
                </c:pt>
                <c:pt idx="14">
                  <c:v>46.052385209999997</c:v>
                </c:pt>
                <c:pt idx="15">
                  <c:v>58.0373886</c:v>
                </c:pt>
                <c:pt idx="16">
                  <c:v>99.185768229999994</c:v>
                </c:pt>
                <c:pt idx="17">
                  <c:v>33.745095970000001</c:v>
                </c:pt>
                <c:pt idx="18">
                  <c:v>150.38375049999999</c:v>
                </c:pt>
                <c:pt idx="19">
                  <c:v>126.3670217</c:v>
                </c:pt>
                <c:pt idx="20">
                  <c:v>127.6473065</c:v>
                </c:pt>
                <c:pt idx="21">
                  <c:v>151.52672749999999</c:v>
                </c:pt>
                <c:pt idx="22">
                  <c:v>59.765026890000001</c:v>
                </c:pt>
                <c:pt idx="23">
                  <c:v>97.497305679999997</c:v>
                </c:pt>
                <c:pt idx="24">
                  <c:v>124.82689329999999</c:v>
                </c:pt>
                <c:pt idx="25">
                  <c:v>163.69585509999999</c:v>
                </c:pt>
                <c:pt idx="26">
                  <c:v>45.773785269999998</c:v>
                </c:pt>
                <c:pt idx="27">
                  <c:v>40.368555899999997</c:v>
                </c:pt>
                <c:pt idx="28">
                  <c:v>45.179256979999998</c:v>
                </c:pt>
                <c:pt idx="29">
                  <c:v>10</c:v>
                </c:pt>
                <c:pt idx="30">
                  <c:v>1200</c:v>
                </c:pt>
              </c:numCache>
            </c:numRef>
          </c:yVal>
          <c:smooth val="0"/>
        </c:ser>
        <c:ser>
          <c:idx val="4"/>
          <c:order val="4"/>
          <c:tx>
            <c:v>SD</c:v>
          </c:tx>
          <c:spPr>
            <a:ln w="28575">
              <a:noFill/>
            </a:ln>
          </c:spPr>
          <c:marker>
            <c:symbol val="diamond"/>
            <c:size val="20"/>
            <c:spPr>
              <a:solidFill>
                <a:schemeClr val="tx1"/>
              </a:solidFill>
            </c:spPr>
          </c:marker>
          <c:xVal>
            <c:numRef>
              <c:f>BASE!$C$190</c:f>
              <c:numCache>
                <c:formatCode>0</c:formatCode>
                <c:ptCount val="1"/>
                <c:pt idx="0">
                  <c:v>25.839848547252238</c:v>
                </c:pt>
              </c:numCache>
            </c:numRef>
          </c:xVal>
          <c:yVal>
            <c:numRef>
              <c:f>BASE!$C$190</c:f>
              <c:numCache>
                <c:formatCode>0</c:formatCode>
                <c:ptCount val="1"/>
                <c:pt idx="0">
                  <c:v>25.839848547252238</c:v>
                </c:pt>
              </c:numCache>
            </c:numRef>
          </c:yVal>
          <c:smooth val="0"/>
        </c:ser>
        <c:ser>
          <c:idx val="5"/>
          <c:order val="5"/>
          <c:tx>
            <c:v>SD PI (up)</c:v>
          </c:tx>
          <c:spPr>
            <a:ln w="28575">
              <a:noFill/>
            </a:ln>
          </c:spPr>
          <c:marker>
            <c:symbol val="diamond"/>
            <c:size val="20"/>
            <c:spPr>
              <a:solidFill>
                <a:srgbClr val="00B050"/>
              </a:solidFill>
            </c:spPr>
          </c:marker>
          <c:xVal>
            <c:numRef>
              <c:f>BASE!$J$190</c:f>
              <c:numCache>
                <c:formatCode>0.00</c:formatCode>
                <c:ptCount val="1"/>
                <c:pt idx="0">
                  <c:v>82.729091443373477</c:v>
                </c:pt>
              </c:numCache>
            </c:numRef>
          </c:xVal>
          <c:yVal>
            <c:numRef>
              <c:f>BASE!$C$190</c:f>
              <c:numCache>
                <c:formatCode>0</c:formatCode>
                <c:ptCount val="1"/>
                <c:pt idx="0">
                  <c:v>25.839848547252238</c:v>
                </c:pt>
              </c:numCache>
            </c:numRef>
          </c:yVal>
          <c:smooth val="0"/>
        </c:ser>
        <c:ser>
          <c:idx val="6"/>
          <c:order val="6"/>
          <c:tx>
            <c:v>SD PI (down)</c:v>
          </c:tx>
          <c:spPr>
            <a:ln w="28575">
              <a:noFill/>
            </a:ln>
          </c:spPr>
          <c:marker>
            <c:symbol val="diamond"/>
            <c:size val="20"/>
            <c:spPr>
              <a:solidFill>
                <a:srgbClr val="00B050"/>
              </a:solidFill>
            </c:spPr>
          </c:marker>
          <c:xVal>
            <c:numRef>
              <c:f>BASE!$K$190</c:f>
              <c:numCache>
                <c:formatCode>0.00</c:formatCode>
                <c:ptCount val="1"/>
                <c:pt idx="0">
                  <c:v>8.0708945462305781</c:v>
                </c:pt>
              </c:numCache>
            </c:numRef>
          </c:xVal>
          <c:yVal>
            <c:numRef>
              <c:f>BASE!$C$190</c:f>
              <c:numCache>
                <c:formatCode>0</c:formatCode>
                <c:ptCount val="1"/>
                <c:pt idx="0">
                  <c:v>25.839848547252238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90144"/>
        <c:axId val="99992704"/>
      </c:scatterChart>
      <c:valAx>
        <c:axId val="99990144"/>
        <c:scaling>
          <c:logBase val="10"/>
          <c:orientation val="minMax"/>
          <c:max val="1200"/>
          <c:min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Measured Specific degradation (tons/km</a:t>
                </a:r>
                <a:r>
                  <a:rPr lang="en-US" sz="1800" b="1" i="0" baseline="30000">
                    <a:effectLst/>
                  </a:rPr>
                  <a:t>2</a:t>
                </a:r>
                <a:r>
                  <a:rPr lang="en-US" sz="1800" b="1" i="0" baseline="0">
                    <a:effectLst/>
                  </a:rPr>
                  <a:t>▪year)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0.28514149429978503"/>
              <c:y val="0.91710560498763005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99992704"/>
        <c:crosses val="autoZero"/>
        <c:crossBetween val="midCat"/>
      </c:valAx>
      <c:valAx>
        <c:axId val="99992704"/>
        <c:scaling>
          <c:logBase val="10"/>
          <c:orientation val="minMax"/>
          <c:max val="1000"/>
          <c:min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Calculated Specific degradation tons/km</a:t>
                </a:r>
                <a:r>
                  <a:rPr lang="en-US" sz="1800" b="1" i="0" baseline="30000">
                    <a:effectLst/>
                  </a:rPr>
                  <a:t>2</a:t>
                </a:r>
                <a:r>
                  <a:rPr lang="en-US" sz="1800" b="1" i="0" baseline="0">
                    <a:effectLst/>
                  </a:rPr>
                  <a:t>▪year)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990144"/>
        <c:crosses val="autoZero"/>
        <c:crossBetween val="midCat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9496203165610801"/>
          <c:y val="0.13921180634152899"/>
          <c:w val="0.158603379546984"/>
          <c:h val="0.2213669758330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485837</xdr:colOff>
      <xdr:row>27</xdr:row>
      <xdr:rowOff>121228</xdr:rowOff>
    </xdr:from>
    <xdr:to>
      <xdr:col>12</xdr:col>
      <xdr:colOff>504638</xdr:colOff>
      <xdr:row>58</xdr:row>
      <xdr:rowOff>38783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221680</xdr:colOff>
      <xdr:row>27</xdr:row>
      <xdr:rowOff>107732</xdr:rowOff>
    </xdr:from>
    <xdr:to>
      <xdr:col>24</xdr:col>
      <xdr:colOff>571500</xdr:colOff>
      <xdr:row>58</xdr:row>
      <xdr:rowOff>51956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155864</xdr:colOff>
      <xdr:row>27</xdr:row>
      <xdr:rowOff>86591</xdr:rowOff>
    </xdr:from>
    <xdr:to>
      <xdr:col>37</xdr:col>
      <xdr:colOff>125786</xdr:colOff>
      <xdr:row>58</xdr:row>
      <xdr:rowOff>23613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390191</xdr:colOff>
      <xdr:row>59</xdr:row>
      <xdr:rowOff>138293</xdr:rowOff>
    </xdr:from>
    <xdr:to>
      <xdr:col>12</xdr:col>
      <xdr:colOff>587800</xdr:colOff>
      <xdr:row>90</xdr:row>
      <xdr:rowOff>56031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201104</xdr:colOff>
      <xdr:row>59</xdr:row>
      <xdr:rowOff>45888</xdr:rowOff>
    </xdr:from>
    <xdr:to>
      <xdr:col>25</xdr:col>
      <xdr:colOff>30210</xdr:colOff>
      <xdr:row>91</xdr:row>
      <xdr:rowOff>174475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</xdr:col>
      <xdr:colOff>0</xdr:colOff>
      <xdr:row>21</xdr:row>
      <xdr:rowOff>179293</xdr:rowOff>
    </xdr:from>
    <xdr:ext cx="7552764" cy="840442"/>
    <xdr:sp macro="" textlink="">
      <xdr:nvSpPr>
        <xdr:cNvPr id="8" name="TextBox 7"/>
        <xdr:cNvSpPr txBox="1"/>
      </xdr:nvSpPr>
      <xdr:spPr>
        <a:xfrm>
          <a:off x="1210235" y="4224617"/>
          <a:ext cx="7552764" cy="8404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800" b="1"/>
            <a:t>- Higher number</a:t>
          </a:r>
          <a:r>
            <a:rPr lang="en-US" sz="1800" b="1" baseline="0"/>
            <a:t> of data in reliable range could be indicator of better result</a:t>
          </a:r>
        </a:p>
        <a:p>
          <a:r>
            <a:rPr lang="en-US" sz="1800" b="1" baseline="0"/>
            <a:t>- SD result from more variable provides better results than others</a:t>
          </a:r>
          <a:endParaRPr lang="en-US" sz="1800" b="1"/>
        </a:p>
      </xdr:txBody>
    </xdr:sp>
    <xdr:clientData/>
  </xdr:oneCellAnchor>
  <xdr:oneCellAnchor>
    <xdr:from>
      <xdr:col>16</xdr:col>
      <xdr:colOff>217172</xdr:colOff>
      <xdr:row>2</xdr:row>
      <xdr:rowOff>52797</xdr:rowOff>
    </xdr:from>
    <xdr:ext cx="1595950" cy="1876860"/>
    <xdr:sp macro="" textlink="">
      <xdr:nvSpPr>
        <xdr:cNvPr id="7" name="TextBox 6"/>
        <xdr:cNvSpPr txBox="1"/>
      </xdr:nvSpPr>
      <xdr:spPr>
        <a:xfrm>
          <a:off x="11810458" y="433797"/>
          <a:ext cx="1595950" cy="1876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800" b="1"/>
            <a:t>Index </a:t>
          </a:r>
        </a:p>
        <a:p>
          <a:r>
            <a:rPr lang="en-US" sz="1600" b="0"/>
            <a:t>0: No confidence</a:t>
          </a:r>
        </a:p>
        <a:p>
          <a:r>
            <a:rPr lang="en-US" sz="1600" b="0"/>
            <a:t>1: Very poor</a:t>
          </a:r>
        </a:p>
        <a:p>
          <a:r>
            <a:rPr lang="en-US" sz="1600" b="0"/>
            <a:t>2: poor</a:t>
          </a:r>
        </a:p>
        <a:p>
          <a:r>
            <a:rPr lang="en-US" sz="1600" b="0"/>
            <a:t>3: Fair</a:t>
          </a:r>
        </a:p>
        <a:p>
          <a:r>
            <a:rPr lang="en-US" sz="1600" b="0"/>
            <a:t>4:</a:t>
          </a:r>
          <a:r>
            <a:rPr lang="en-US" sz="1600" b="0" baseline="0"/>
            <a:t> Moderate</a:t>
          </a:r>
        </a:p>
        <a:p>
          <a:r>
            <a:rPr lang="en-US" sz="1600" b="0" baseline="0"/>
            <a:t>5: Good</a:t>
          </a:r>
          <a:endParaRPr lang="en-US" sz="1400" b="0"/>
        </a:p>
      </xdr:txBody>
    </xdr:sp>
    <xdr:clientData/>
  </xdr:oneCellAnchor>
  <xdr:twoCellAnchor>
    <xdr:from>
      <xdr:col>15</xdr:col>
      <xdr:colOff>15784</xdr:colOff>
      <xdr:row>2</xdr:row>
      <xdr:rowOff>190499</xdr:rowOff>
    </xdr:from>
    <xdr:to>
      <xdr:col>16</xdr:col>
      <xdr:colOff>27214</xdr:colOff>
      <xdr:row>4</xdr:row>
      <xdr:rowOff>106680</xdr:rowOff>
    </xdr:to>
    <xdr:sp macro="" textlink="">
      <xdr:nvSpPr>
        <xdr:cNvPr id="9" name="Right Arrow 8"/>
        <xdr:cNvSpPr/>
      </xdr:nvSpPr>
      <xdr:spPr>
        <a:xfrm rot="10800000">
          <a:off x="10602141" y="571499"/>
          <a:ext cx="596537" cy="36521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13</xdr:col>
      <xdr:colOff>285749</xdr:colOff>
      <xdr:row>12</xdr:row>
      <xdr:rowOff>176891</xdr:rowOff>
    </xdr:from>
    <xdr:ext cx="5592536" cy="1959429"/>
    <xdr:sp macro="" textlink="">
      <xdr:nvSpPr>
        <xdr:cNvPr id="10" name="TextBox 9"/>
        <xdr:cNvSpPr txBox="1"/>
      </xdr:nvSpPr>
      <xdr:spPr>
        <a:xfrm>
          <a:off x="9307285" y="2626177"/>
          <a:ext cx="5592536" cy="1959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800" b="1"/>
            <a:t>- </a:t>
          </a:r>
          <a:r>
            <a:rPr lang="en-US" sz="1800" b="1" baseline="0"/>
            <a:t>Values for applicability index</a:t>
          </a:r>
        </a:p>
        <a:p>
          <a:r>
            <a:rPr lang="en-US" sz="1800" b="0" baseline="0"/>
            <a:t>Input is in range of dataset: "1"</a:t>
          </a:r>
        </a:p>
        <a:p>
          <a:r>
            <a:rPr lang="en-US" sz="1800" b="0" baseline="0"/>
            <a:t>Input is out range of dataset: "0"</a:t>
          </a:r>
        </a:p>
        <a:p>
          <a:r>
            <a:rPr lang="en-US" sz="1600" b="0" baseline="0"/>
            <a:t>+) Urban of percentage is "-1" when it is lower than 2.09%</a:t>
          </a:r>
        </a:p>
        <a:p>
          <a:r>
            <a:rPr lang="en-US" sz="1800" b="0" baseline="0"/>
            <a:t> </a:t>
          </a:r>
          <a:endParaRPr lang="en-US" sz="16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21"/>
  <sheetViews>
    <sheetView tabSelected="1" topLeftCell="F40" zoomScale="70" zoomScaleNormal="70" zoomScalePageLayoutView="115" workbookViewId="0">
      <selection activeCell="X9" sqref="X9"/>
    </sheetView>
  </sheetViews>
  <sheetFormatPr defaultColWidth="8.85546875" defaultRowHeight="15" x14ac:dyDescent="0.25"/>
  <cols>
    <col min="4" max="4" width="18.85546875" customWidth="1"/>
    <col min="5" max="6" width="10.28515625" customWidth="1"/>
    <col min="9" max="9" width="9.7109375" customWidth="1"/>
    <col min="10" max="10" width="11.28515625" customWidth="1"/>
    <col min="11" max="11" width="13.5703125" customWidth="1"/>
    <col min="14" max="14" width="16.42578125" customWidth="1"/>
    <col min="15" max="15" width="18.5703125" bestFit="1" customWidth="1"/>
    <col min="17" max="17" width="14" bestFit="1" customWidth="1"/>
  </cols>
  <sheetData>
    <row r="3" spans="3:19" ht="15.75" thickBot="1" x14ac:dyDescent="0.3">
      <c r="Q3" s="50"/>
      <c r="R3" s="50"/>
      <c r="S3" s="50"/>
    </row>
    <row r="4" spans="3:19" ht="18.75" x14ac:dyDescent="0.25">
      <c r="C4" s="61" t="s">
        <v>100</v>
      </c>
      <c r="D4" s="62"/>
      <c r="E4" s="62"/>
      <c r="F4" s="63"/>
      <c r="H4" s="61" t="s">
        <v>101</v>
      </c>
      <c r="I4" s="62"/>
      <c r="J4" s="62"/>
      <c r="K4" s="63"/>
      <c r="M4" s="78" t="s">
        <v>104</v>
      </c>
      <c r="N4" s="79"/>
      <c r="O4" s="72" t="str">
        <f>IF(O11=5,"Good",IF(O11=4,"Moderate",IF(O11=3,"Fair",IF(O11=2,"Poor","very pool"))))</f>
        <v>Good</v>
      </c>
      <c r="P4" s="41"/>
      <c r="Q4" s="58"/>
      <c r="R4" s="58"/>
      <c r="S4" s="50"/>
    </row>
    <row r="5" spans="3:19" s="2" customFormat="1" ht="15.75" customHeight="1" thickBot="1" x14ac:dyDescent="0.3">
      <c r="C5" s="95" t="s">
        <v>75</v>
      </c>
      <c r="D5" s="96"/>
      <c r="E5" s="13" t="s">
        <v>76</v>
      </c>
      <c r="F5" s="14" t="s">
        <v>77</v>
      </c>
      <c r="H5" s="32" t="s">
        <v>93</v>
      </c>
      <c r="I5" s="33" t="s">
        <v>62</v>
      </c>
      <c r="J5" s="76" t="s">
        <v>92</v>
      </c>
      <c r="K5" s="77"/>
      <c r="M5" s="80"/>
      <c r="N5" s="81"/>
      <c r="O5" s="73"/>
      <c r="P5" s="41"/>
      <c r="Q5" s="58"/>
      <c r="R5" s="58"/>
      <c r="S5" s="50"/>
    </row>
    <row r="6" spans="3:19" ht="18" thickTop="1" x14ac:dyDescent="0.25">
      <c r="C6" s="68" t="s">
        <v>90</v>
      </c>
      <c r="D6" s="69"/>
      <c r="E6" s="15" t="s">
        <v>78</v>
      </c>
      <c r="F6" s="52">
        <v>1318</v>
      </c>
      <c r="H6" s="29" t="s">
        <v>39</v>
      </c>
      <c r="I6" s="34">
        <f>BASE!W28</f>
        <v>3481.7775943103447</v>
      </c>
      <c r="J6" s="34">
        <f>BASE!X28</f>
        <v>173.429125</v>
      </c>
      <c r="K6" s="35">
        <f>BASE!Y28</f>
        <v>20380</v>
      </c>
      <c r="M6" s="68" t="s">
        <v>90</v>
      </c>
      <c r="N6" s="69"/>
      <c r="O6" s="42">
        <f>IF(AND(F6&gt;=J6,F6&lt;=K6), 1, 0)</f>
        <v>1</v>
      </c>
      <c r="Q6" s="50"/>
      <c r="R6" s="50"/>
      <c r="S6" s="50"/>
    </row>
    <row r="7" spans="3:19" x14ac:dyDescent="0.2">
      <c r="C7" s="66" t="s">
        <v>91</v>
      </c>
      <c r="D7" s="67"/>
      <c r="E7" s="17" t="s">
        <v>79</v>
      </c>
      <c r="F7" s="53">
        <v>1123</v>
      </c>
      <c r="H7" s="30" t="s">
        <v>40</v>
      </c>
      <c r="I7" s="36">
        <f>BASE!W29</f>
        <v>1287.3074740344825</v>
      </c>
      <c r="J7" s="36">
        <f>BASE!X29</f>
        <v>1072.4573969999999</v>
      </c>
      <c r="K7" s="37">
        <f>BASE!Y29</f>
        <v>1424.994263</v>
      </c>
      <c r="M7" s="66" t="s">
        <v>91</v>
      </c>
      <c r="N7" s="67"/>
      <c r="O7" s="40">
        <f t="shared" ref="O7:O10" si="0">IF(AND(F7&gt;=J7,F7&lt;=K7), 1, 0)</f>
        <v>1</v>
      </c>
      <c r="Q7" s="50"/>
      <c r="R7" s="50"/>
      <c r="S7" s="50"/>
    </row>
    <row r="8" spans="3:19" x14ac:dyDescent="0.2">
      <c r="C8" s="66" t="s">
        <v>96</v>
      </c>
      <c r="D8" s="67"/>
      <c r="E8" s="17" t="s">
        <v>80</v>
      </c>
      <c r="F8" s="53">
        <v>2.66</v>
      </c>
      <c r="H8" s="30" t="s">
        <v>41</v>
      </c>
      <c r="I8" s="36">
        <f>BASE!W30</f>
        <v>5.3372293826551731</v>
      </c>
      <c r="J8" s="36">
        <f>BASE!X30</f>
        <v>2.096528041</v>
      </c>
      <c r="K8" s="37">
        <f>BASE!Y30</f>
        <v>15.04391616</v>
      </c>
      <c r="M8" s="66" t="s">
        <v>114</v>
      </c>
      <c r="N8" s="67"/>
      <c r="O8" s="40">
        <f>IF(AND(F8&gt;=J8,F8&lt;=K8),1,IF(F8&lt;J8,-1,0))</f>
        <v>1</v>
      </c>
      <c r="Q8" s="50"/>
      <c r="R8" s="50"/>
      <c r="S8" s="50"/>
    </row>
    <row r="9" spans="3:19" x14ac:dyDescent="0.2">
      <c r="C9" s="66" t="s">
        <v>117</v>
      </c>
      <c r="D9" s="67"/>
      <c r="E9" s="17" t="s">
        <v>80</v>
      </c>
      <c r="F9" s="53">
        <v>32</v>
      </c>
      <c r="H9" s="30" t="s">
        <v>42</v>
      </c>
      <c r="I9" s="36">
        <f>BASE!W31</f>
        <v>42.666031055862071</v>
      </c>
      <c r="J9" s="36">
        <f>BASE!X31</f>
        <v>22</v>
      </c>
      <c r="K9" s="37">
        <f>BASE!Y31</f>
        <v>60.208528829999999</v>
      </c>
      <c r="M9" s="66" t="s">
        <v>117</v>
      </c>
      <c r="N9" s="67"/>
      <c r="O9" s="40">
        <f t="shared" si="0"/>
        <v>1</v>
      </c>
      <c r="Q9" s="50"/>
      <c r="R9" s="50"/>
      <c r="S9" s="50"/>
    </row>
    <row r="10" spans="3:19" ht="15.95" thickBot="1" x14ac:dyDescent="0.25">
      <c r="C10" s="64" t="s">
        <v>118</v>
      </c>
      <c r="D10" s="65"/>
      <c r="E10" s="19" t="s">
        <v>80</v>
      </c>
      <c r="F10" s="54">
        <v>36</v>
      </c>
      <c r="H10" s="31" t="s">
        <v>94</v>
      </c>
      <c r="I10" s="38">
        <f>BASE!W32</f>
        <v>34.044937484931033</v>
      </c>
      <c r="J10" s="38">
        <f>BASE!X32</f>
        <v>9.9980983729999995</v>
      </c>
      <c r="K10" s="39">
        <f>BASE!Y32</f>
        <v>47.116085050000002</v>
      </c>
      <c r="M10" s="66" t="s">
        <v>118</v>
      </c>
      <c r="N10" s="67"/>
      <c r="O10" s="40">
        <f t="shared" si="0"/>
        <v>1</v>
      </c>
      <c r="Q10" s="50"/>
      <c r="R10" s="50"/>
      <c r="S10" s="50"/>
    </row>
    <row r="11" spans="3:19" s="2" customFormat="1" ht="15.95" thickBot="1" x14ac:dyDescent="0.25">
      <c r="C11" s="47"/>
      <c r="D11" s="47"/>
      <c r="E11" s="47"/>
      <c r="F11" s="49"/>
      <c r="H11" s="47"/>
      <c r="I11" s="48"/>
      <c r="J11" s="48"/>
      <c r="K11" s="48"/>
      <c r="M11" s="70" t="s">
        <v>103</v>
      </c>
      <c r="N11" s="71"/>
      <c r="O11" s="20">
        <f>SUM(O6:O10)</f>
        <v>5</v>
      </c>
      <c r="Q11" s="50"/>
      <c r="R11" s="50"/>
      <c r="S11" s="50"/>
    </row>
    <row r="12" spans="3:19" s="2" customFormat="1" ht="15.95" thickBot="1" x14ac:dyDescent="0.25">
      <c r="M12" s="46"/>
      <c r="N12" s="46"/>
      <c r="O12" s="47"/>
    </row>
    <row r="13" spans="3:19" ht="18.75" x14ac:dyDescent="0.3">
      <c r="C13" s="98" t="s">
        <v>102</v>
      </c>
      <c r="D13" s="99"/>
      <c r="E13" s="99"/>
      <c r="F13" s="99"/>
      <c r="G13" s="99"/>
      <c r="H13" s="99"/>
      <c r="I13" s="99"/>
      <c r="J13" s="99"/>
      <c r="K13" s="99"/>
      <c r="L13" s="100"/>
    </row>
    <row r="14" spans="3:19" x14ac:dyDescent="0.25">
      <c r="C14" s="89" t="s">
        <v>113</v>
      </c>
      <c r="D14" s="90"/>
      <c r="E14" s="82" t="s">
        <v>106</v>
      </c>
      <c r="F14" s="83"/>
      <c r="G14" s="84"/>
      <c r="H14" s="85" t="s">
        <v>107</v>
      </c>
      <c r="I14" s="86"/>
      <c r="J14" s="87"/>
      <c r="K14" s="101" t="s">
        <v>103</v>
      </c>
      <c r="L14" s="102"/>
      <c r="O14" s="47"/>
    </row>
    <row r="15" spans="3:19" s="2" customFormat="1" x14ac:dyDescent="0.25">
      <c r="C15" s="91"/>
      <c r="D15" s="92"/>
      <c r="E15" s="59" t="s">
        <v>62</v>
      </c>
      <c r="F15" s="74" t="s">
        <v>108</v>
      </c>
      <c r="G15" s="74"/>
      <c r="H15" s="60" t="s">
        <v>62</v>
      </c>
      <c r="I15" s="74" t="s">
        <v>108</v>
      </c>
      <c r="J15" s="74"/>
      <c r="K15" s="103"/>
      <c r="L15" s="104"/>
      <c r="O15" s="47"/>
    </row>
    <row r="16" spans="3:19" s="2" customFormat="1" ht="18" thickBot="1" x14ac:dyDescent="0.3">
      <c r="C16" s="93"/>
      <c r="D16" s="94"/>
      <c r="E16" s="107" t="s">
        <v>115</v>
      </c>
      <c r="F16" s="107"/>
      <c r="G16" s="107"/>
      <c r="H16" s="96" t="s">
        <v>116</v>
      </c>
      <c r="I16" s="96"/>
      <c r="J16" s="76"/>
      <c r="K16" s="105"/>
      <c r="L16" s="106"/>
      <c r="O16" s="47"/>
    </row>
    <row r="17" spans="3:15" ht="15.75" thickTop="1" x14ac:dyDescent="0.25">
      <c r="C17" s="108" t="s">
        <v>34</v>
      </c>
      <c r="D17" s="109"/>
      <c r="E17" s="55">
        <f>BASE!$Q$62</f>
        <v>90.121004767413012</v>
      </c>
      <c r="F17" s="26">
        <f>BASE!$R$62</f>
        <v>16.016846952453079</v>
      </c>
      <c r="G17" s="26">
        <f>BASE!$S$62</f>
        <v>507.07829851893433</v>
      </c>
      <c r="H17" s="55">
        <f>E17*$F$6</f>
        <v>118779.48428345035</v>
      </c>
      <c r="I17" s="26">
        <f t="shared" ref="I17:J17" si="1">F17*$F$6</f>
        <v>21110.204283333158</v>
      </c>
      <c r="J17" s="43">
        <f t="shared" si="1"/>
        <v>668329.19744795549</v>
      </c>
      <c r="K17" s="74">
        <f>SUM(O6)</f>
        <v>1</v>
      </c>
      <c r="L17" s="75"/>
      <c r="O17" s="47"/>
    </row>
    <row r="18" spans="3:15" x14ac:dyDescent="0.25">
      <c r="C18" s="88" t="s">
        <v>109</v>
      </c>
      <c r="D18" s="74"/>
      <c r="E18" s="56">
        <f>BASE!$Q$63</f>
        <v>56.391448353333615</v>
      </c>
      <c r="F18" s="27">
        <f>BASE!$R$63</f>
        <v>11.043333094552647</v>
      </c>
      <c r="G18" s="27">
        <f>BASE!$S$63</f>
        <v>287.95612883897286</v>
      </c>
      <c r="H18" s="56">
        <f t="shared" ref="H18:H21" si="2">E18*$F$6</f>
        <v>74323.928929693706</v>
      </c>
      <c r="I18" s="27">
        <f t="shared" ref="I18:I21" si="3">F18*$F$6</f>
        <v>14555.113018620388</v>
      </c>
      <c r="J18" s="44">
        <f t="shared" ref="J18:J21" si="4">G18*$F$6</f>
        <v>379526.1778097662</v>
      </c>
      <c r="K18" s="74">
        <f>O6+O7</f>
        <v>2</v>
      </c>
      <c r="L18" s="75"/>
      <c r="O18" s="47"/>
    </row>
    <row r="19" spans="3:15" x14ac:dyDescent="0.25">
      <c r="C19" s="88" t="s">
        <v>110</v>
      </c>
      <c r="D19" s="74"/>
      <c r="E19" s="56">
        <f>BASE!$Q$64</f>
        <v>45.331593205312721</v>
      </c>
      <c r="F19" s="27">
        <f>BASE!$R$64</f>
        <v>10.280318254622772</v>
      </c>
      <c r="G19" s="27">
        <f>BASE!$S$64</f>
        <v>199.89199669065698</v>
      </c>
      <c r="H19" s="56">
        <f t="shared" si="2"/>
        <v>59747.039844602165</v>
      </c>
      <c r="I19" s="27">
        <f t="shared" si="3"/>
        <v>13549.459459592814</v>
      </c>
      <c r="J19" s="44">
        <f t="shared" si="4"/>
        <v>263457.6516382859</v>
      </c>
      <c r="K19" s="74">
        <f>O6+O7+O8</f>
        <v>3</v>
      </c>
      <c r="L19" s="75"/>
      <c r="O19" s="47"/>
    </row>
    <row r="20" spans="3:15" x14ac:dyDescent="0.25">
      <c r="C20" s="88" t="s">
        <v>111</v>
      </c>
      <c r="D20" s="74"/>
      <c r="E20" s="56">
        <f>BASE!$Q$65</f>
        <v>24.327662236612944</v>
      </c>
      <c r="F20" s="27">
        <f>BASE!$R$65</f>
        <v>7.5021396500659492</v>
      </c>
      <c r="G20" s="27">
        <f>BASE!S65</f>
        <v>78.888847382829141</v>
      </c>
      <c r="H20" s="56">
        <f t="shared" si="2"/>
        <v>32063.85882785586</v>
      </c>
      <c r="I20" s="27">
        <f t="shared" si="3"/>
        <v>9887.8200587869214</v>
      </c>
      <c r="J20" s="44">
        <f t="shared" si="4"/>
        <v>103975.5008505688</v>
      </c>
      <c r="K20" s="74">
        <f>O6+O7+O8+O9</f>
        <v>4</v>
      </c>
      <c r="L20" s="75"/>
      <c r="O20" s="50"/>
    </row>
    <row r="21" spans="3:15" ht="15.75" thickBot="1" x14ac:dyDescent="0.3">
      <c r="C21" s="70" t="s">
        <v>112</v>
      </c>
      <c r="D21" s="71"/>
      <c r="E21" s="57">
        <f>BASE!$Q$66</f>
        <v>25.839848547252238</v>
      </c>
      <c r="F21" s="28">
        <f>BASE!$R$66</f>
        <v>8.0708945462305781</v>
      </c>
      <c r="G21" s="28">
        <f>BASE!S66</f>
        <v>82.729091443373477</v>
      </c>
      <c r="H21" s="57">
        <f t="shared" si="2"/>
        <v>34056.920385278449</v>
      </c>
      <c r="I21" s="28">
        <f t="shared" si="3"/>
        <v>10637.439011931901</v>
      </c>
      <c r="J21" s="45">
        <f t="shared" si="4"/>
        <v>109036.94252236624</v>
      </c>
      <c r="K21" s="71">
        <f>O11</f>
        <v>5</v>
      </c>
      <c r="L21" s="97"/>
    </row>
  </sheetData>
  <mergeCells count="36">
    <mergeCell ref="K21:L21"/>
    <mergeCell ref="C13:L13"/>
    <mergeCell ref="K14:L16"/>
    <mergeCell ref="K17:L17"/>
    <mergeCell ref="K18:L18"/>
    <mergeCell ref="K19:L19"/>
    <mergeCell ref="E16:G16"/>
    <mergeCell ref="H16:J16"/>
    <mergeCell ref="C21:D21"/>
    <mergeCell ref="C17:D17"/>
    <mergeCell ref="C18:D18"/>
    <mergeCell ref="C19:D19"/>
    <mergeCell ref="E14:G14"/>
    <mergeCell ref="H14:J14"/>
    <mergeCell ref="F15:G15"/>
    <mergeCell ref="I15:J15"/>
    <mergeCell ref="C20:D20"/>
    <mergeCell ref="C14:D16"/>
    <mergeCell ref="M11:N11"/>
    <mergeCell ref="O4:O5"/>
    <mergeCell ref="M8:N8"/>
    <mergeCell ref="K20:L20"/>
    <mergeCell ref="J5:K5"/>
    <mergeCell ref="M9:N9"/>
    <mergeCell ref="M4:N5"/>
    <mergeCell ref="H4:K4"/>
    <mergeCell ref="C4:F4"/>
    <mergeCell ref="C10:D10"/>
    <mergeCell ref="M10:N10"/>
    <mergeCell ref="M6:N6"/>
    <mergeCell ref="M7:N7"/>
    <mergeCell ref="C9:D9"/>
    <mergeCell ref="C5:D5"/>
    <mergeCell ref="C6:D6"/>
    <mergeCell ref="C7:D7"/>
    <mergeCell ref="C8:D8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91"/>
  <sheetViews>
    <sheetView topLeftCell="A8" zoomScale="60" zoomScaleNormal="40" zoomScalePageLayoutView="40" workbookViewId="0">
      <selection activeCell="N146" sqref="N146"/>
    </sheetView>
  </sheetViews>
  <sheetFormatPr defaultColWidth="8.85546875" defaultRowHeight="15" x14ac:dyDescent="0.25"/>
  <cols>
    <col min="2" max="2" width="8.85546875" style="4"/>
    <col min="3" max="4" width="12.140625" style="4" bestFit="1" customWidth="1"/>
    <col min="5" max="5" width="8.85546875" style="4"/>
    <col min="6" max="6" width="10.85546875" style="4" bestFit="1" customWidth="1"/>
    <col min="7" max="7" width="10" style="4" bestFit="1" customWidth="1"/>
    <col min="8" max="8" width="9.7109375" customWidth="1"/>
    <col min="10" max="10" width="10" bestFit="1" customWidth="1"/>
    <col min="11" max="11" width="9.28515625" bestFit="1" customWidth="1"/>
    <col min="19" max="19" width="11.140625" bestFit="1" customWidth="1"/>
    <col min="20" max="20" width="12" bestFit="1" customWidth="1"/>
    <col min="22" max="22" width="14.85546875" bestFit="1" customWidth="1"/>
  </cols>
  <sheetData>
    <row r="1" spans="2:24" s="2" customFormat="1" x14ac:dyDescent="0.2">
      <c r="B1" s="4"/>
      <c r="C1" s="4"/>
      <c r="D1" s="4"/>
      <c r="E1" s="4"/>
      <c r="F1" s="4"/>
      <c r="G1" s="4"/>
    </row>
    <row r="2" spans="2:24" x14ac:dyDescent="0.2">
      <c r="B2" s="110" t="s">
        <v>34</v>
      </c>
      <c r="C2" s="110"/>
      <c r="D2" s="110"/>
      <c r="E2" s="110"/>
    </row>
    <row r="3" spans="2:24" x14ac:dyDescent="0.25">
      <c r="B3" s="111" t="s">
        <v>33</v>
      </c>
      <c r="C3" s="5" t="s">
        <v>105</v>
      </c>
      <c r="D3" s="5" t="s">
        <v>58</v>
      </c>
      <c r="E3" s="5" t="s">
        <v>60</v>
      </c>
      <c r="F3" s="5" t="s">
        <v>59</v>
      </c>
      <c r="G3" s="5" t="s">
        <v>66</v>
      </c>
      <c r="H3" s="5" t="s">
        <v>64</v>
      </c>
      <c r="I3" s="5" t="s">
        <v>65</v>
      </c>
      <c r="J3" s="5" t="s">
        <v>64</v>
      </c>
      <c r="K3" s="5" t="s">
        <v>65</v>
      </c>
    </row>
    <row r="4" spans="2:24" x14ac:dyDescent="0.25">
      <c r="B4" s="111"/>
      <c r="C4" s="5" t="s">
        <v>57</v>
      </c>
      <c r="D4" s="5" t="s">
        <v>57</v>
      </c>
      <c r="E4" s="5" t="s">
        <v>61</v>
      </c>
      <c r="F4" s="5"/>
      <c r="G4" s="5"/>
      <c r="H4" s="110" t="s">
        <v>67</v>
      </c>
      <c r="I4" s="110"/>
    </row>
    <row r="5" spans="2:24" x14ac:dyDescent="0.2">
      <c r="B5" s="5" t="s">
        <v>4</v>
      </c>
      <c r="C5" s="6">
        <v>58.253337520207104</v>
      </c>
      <c r="D5" s="6">
        <v>133.3445475</v>
      </c>
      <c r="E5" s="8">
        <f>D5/C5</f>
        <v>2.2890456268491914</v>
      </c>
      <c r="F5" s="8">
        <f>LOG(E5)</f>
        <v>0.3596544494204324</v>
      </c>
      <c r="G5" s="8">
        <f>LOG(D5)</f>
        <v>2.124975261952585</v>
      </c>
      <c r="H5" s="3">
        <f t="shared" ref="H5:H36" si="0">G5+$K$37</f>
        <v>2.8752242612853336</v>
      </c>
      <c r="I5" s="3">
        <f t="shared" ref="I5:I36" si="1">G5-$K$37</f>
        <v>1.3747262626198364</v>
      </c>
      <c r="J5" s="7">
        <f>10^H5</f>
        <v>750.28154022009585</v>
      </c>
      <c r="K5" s="7">
        <f>10^I5</f>
        <v>23.698794912058947</v>
      </c>
    </row>
    <row r="6" spans="2:24" x14ac:dyDescent="0.2">
      <c r="B6" s="5" t="s">
        <v>5</v>
      </c>
      <c r="C6" s="6">
        <v>123.49300805744497</v>
      </c>
      <c r="D6" s="6">
        <v>530.07671349999998</v>
      </c>
      <c r="E6" s="8">
        <f t="shared" ref="E6:E33" si="2">D6/C6</f>
        <v>4.2923621493892625</v>
      </c>
      <c r="F6" s="8">
        <f>LOG(E6)</f>
        <v>0.6326963565479462</v>
      </c>
      <c r="G6" s="8">
        <f>LOG(D6)</f>
        <v>2.7243387259004725</v>
      </c>
      <c r="H6" s="3">
        <f t="shared" si="0"/>
        <v>3.4745877252332211</v>
      </c>
      <c r="I6" s="3">
        <f t="shared" si="1"/>
        <v>1.974089726567724</v>
      </c>
      <c r="J6" s="7">
        <f t="shared" ref="J6:J33" si="3">10^H6</f>
        <v>2982.5499467054469</v>
      </c>
      <c r="K6" s="7">
        <f t="shared" ref="K6:K33" si="4">10^I6</f>
        <v>94.208421389668985</v>
      </c>
    </row>
    <row r="7" spans="2:24" x14ac:dyDescent="0.2">
      <c r="B7" s="5" t="s">
        <v>6</v>
      </c>
      <c r="C7" s="6">
        <v>89.732294230520893</v>
      </c>
      <c r="D7" s="6">
        <v>1102.0513739999999</v>
      </c>
      <c r="E7" s="8">
        <f t="shared" si="2"/>
        <v>12.281546832724981</v>
      </c>
      <c r="F7" s="8">
        <f t="shared" ref="F7:F33" si="5">LOG(E7)</f>
        <v>1.0892530686463928</v>
      </c>
      <c r="G7" s="8">
        <f t="shared" ref="G7:G35" si="6">LOG(D7)</f>
        <v>3.0422018403639171</v>
      </c>
      <c r="H7" s="3">
        <f t="shared" si="0"/>
        <v>3.7924508396966656</v>
      </c>
      <c r="I7" s="3">
        <f t="shared" si="1"/>
        <v>2.2919528410311685</v>
      </c>
      <c r="J7" s="7">
        <f t="shared" si="3"/>
        <v>6200.8444873712879</v>
      </c>
      <c r="K7" s="7">
        <f t="shared" si="4"/>
        <v>195.86319789325304</v>
      </c>
    </row>
    <row r="8" spans="2:24" x14ac:dyDescent="0.2">
      <c r="B8" s="5" t="s">
        <v>7</v>
      </c>
      <c r="C8" s="6">
        <v>136.57889170361531</v>
      </c>
      <c r="D8" s="6">
        <v>308.34193260000001</v>
      </c>
      <c r="E8" s="8">
        <f t="shared" si="2"/>
        <v>2.2576104459034649</v>
      </c>
      <c r="F8" s="8">
        <f t="shared" si="5"/>
        <v>0.353649005883934</v>
      </c>
      <c r="G8" s="8">
        <f t="shared" si="6"/>
        <v>2.4890325901122927</v>
      </c>
      <c r="H8" s="3">
        <f t="shared" si="0"/>
        <v>3.2392815894450413</v>
      </c>
      <c r="I8" s="3">
        <f t="shared" si="1"/>
        <v>1.7387835907795441</v>
      </c>
      <c r="J8" s="7">
        <f t="shared" si="3"/>
        <v>1734.9285324588857</v>
      </c>
      <c r="K8" s="7">
        <f t="shared" si="4"/>
        <v>54.800382621383967</v>
      </c>
    </row>
    <row r="9" spans="2:24" x14ac:dyDescent="0.2">
      <c r="B9" s="5" t="s">
        <v>8</v>
      </c>
      <c r="C9" s="6">
        <v>109.11092366359108</v>
      </c>
      <c r="D9" s="6">
        <v>453.70612870000002</v>
      </c>
      <c r="E9" s="8">
        <f t="shared" si="2"/>
        <v>4.1582099524595622</v>
      </c>
      <c r="F9" s="8">
        <f t="shared" si="5"/>
        <v>0.61890641354107168</v>
      </c>
      <c r="G9" s="8">
        <f t="shared" si="6"/>
        <v>2.6567746457915051</v>
      </c>
      <c r="H9" s="3">
        <f t="shared" si="0"/>
        <v>3.4070236451242537</v>
      </c>
      <c r="I9" s="3">
        <f t="shared" si="1"/>
        <v>1.9065256464587566</v>
      </c>
      <c r="J9" s="7">
        <f t="shared" si="3"/>
        <v>2552.8402880390236</v>
      </c>
      <c r="K9" s="7">
        <f t="shared" si="4"/>
        <v>80.635381768463532</v>
      </c>
    </row>
    <row r="10" spans="2:24" x14ac:dyDescent="0.2">
      <c r="B10" s="5" t="s">
        <v>9</v>
      </c>
      <c r="C10" s="6">
        <v>61.031624162965429</v>
      </c>
      <c r="D10" s="6">
        <v>24.811796470000001</v>
      </c>
      <c r="E10" s="8">
        <f t="shared" si="2"/>
        <v>0.40653999971798288</v>
      </c>
      <c r="F10" s="8">
        <f t="shared" si="5"/>
        <v>-0.39089671746925947</v>
      </c>
      <c r="G10" s="8">
        <f t="shared" si="6"/>
        <v>1.3946582100103222</v>
      </c>
      <c r="H10" s="3">
        <f t="shared" si="0"/>
        <v>2.1449072093430708</v>
      </c>
      <c r="I10" s="3">
        <f t="shared" si="1"/>
        <v>0.64440921067757373</v>
      </c>
      <c r="J10" s="7">
        <f t="shared" si="3"/>
        <v>139.60700471190353</v>
      </c>
      <c r="K10" s="7">
        <f t="shared" si="4"/>
        <v>4.4097016860946532</v>
      </c>
      <c r="O10" s="2"/>
      <c r="P10" s="2"/>
      <c r="Q10" s="2"/>
      <c r="R10" s="2"/>
      <c r="S10" s="2" t="s">
        <v>38</v>
      </c>
      <c r="T10" s="2" t="s">
        <v>39</v>
      </c>
      <c r="U10" s="2" t="s">
        <v>40</v>
      </c>
      <c r="V10" s="2" t="s">
        <v>41</v>
      </c>
      <c r="W10" s="2" t="s">
        <v>42</v>
      </c>
      <c r="X10" s="2" t="s">
        <v>43</v>
      </c>
    </row>
    <row r="11" spans="2:24" x14ac:dyDescent="0.2">
      <c r="B11" s="5" t="s">
        <v>10</v>
      </c>
      <c r="C11" s="6">
        <v>121.51759071773199</v>
      </c>
      <c r="D11" s="6">
        <v>90.272551899999996</v>
      </c>
      <c r="E11" s="8">
        <f t="shared" si="2"/>
        <v>0.74287641292765783</v>
      </c>
      <c r="F11" s="8">
        <f t="shared" si="5"/>
        <v>-0.12908343071845349</v>
      </c>
      <c r="G11" s="8">
        <f t="shared" si="6"/>
        <v>1.9555557196329276</v>
      </c>
      <c r="H11" s="3">
        <f t="shared" si="0"/>
        <v>2.705804718965676</v>
      </c>
      <c r="I11" s="3">
        <f t="shared" si="1"/>
        <v>1.2053067203001793</v>
      </c>
      <c r="J11" s="7">
        <f t="shared" si="3"/>
        <v>507.9309994218587</v>
      </c>
      <c r="K11" s="7">
        <f t="shared" si="4"/>
        <v>16.043780820256625</v>
      </c>
      <c r="O11" s="2" t="s">
        <v>44</v>
      </c>
      <c r="P11" s="2" t="s">
        <v>45</v>
      </c>
      <c r="Q11" s="2"/>
      <c r="R11" s="2"/>
      <c r="S11" s="2">
        <v>393.01459999999997</v>
      </c>
      <c r="T11" s="2">
        <v>-0.20499999999999999</v>
      </c>
      <c r="U11" s="2"/>
      <c r="V11" s="2"/>
      <c r="W11" s="2"/>
      <c r="X11" s="2"/>
    </row>
    <row r="12" spans="2:24" x14ac:dyDescent="0.2">
      <c r="B12" s="5" t="s">
        <v>11</v>
      </c>
      <c r="C12" s="6">
        <v>136.28184645832638</v>
      </c>
      <c r="D12" s="6">
        <v>74.676912610000002</v>
      </c>
      <c r="E12" s="8">
        <f t="shared" si="2"/>
        <v>0.54795935446057709</v>
      </c>
      <c r="F12" s="8">
        <f t="shared" si="5"/>
        <v>-0.26125165463269873</v>
      </c>
      <c r="G12" s="8">
        <f t="shared" si="6"/>
        <v>1.8731863544811462</v>
      </c>
      <c r="H12" s="3">
        <f t="shared" si="0"/>
        <v>2.6234353538138948</v>
      </c>
      <c r="I12" s="3">
        <f t="shared" si="1"/>
        <v>1.1229373551483977</v>
      </c>
      <c r="J12" s="7">
        <f t="shared" si="3"/>
        <v>420.17997782708255</v>
      </c>
      <c r="K12" s="7">
        <f t="shared" si="4"/>
        <v>13.272030013901686</v>
      </c>
      <c r="O12" s="2" t="s">
        <v>46</v>
      </c>
      <c r="P12" s="2" t="s">
        <v>47</v>
      </c>
      <c r="Q12" s="2"/>
      <c r="R12" s="2"/>
      <c r="S12" s="1">
        <v>3.6100000000000001E-9</v>
      </c>
      <c r="T12" s="2">
        <v>-0.15429999999999999</v>
      </c>
      <c r="U12" s="2">
        <v>3.4996</v>
      </c>
      <c r="V12" s="2"/>
      <c r="W12" s="2"/>
      <c r="X12" s="2"/>
    </row>
    <row r="13" spans="2:24" x14ac:dyDescent="0.2">
      <c r="B13" s="5" t="s">
        <v>12</v>
      </c>
      <c r="C13" s="6">
        <v>105.3813876138976</v>
      </c>
      <c r="D13" s="6">
        <v>38.428147240000001</v>
      </c>
      <c r="E13" s="8">
        <f t="shared" si="2"/>
        <v>0.36465782155759097</v>
      </c>
      <c r="F13" s="8">
        <f t="shared" si="5"/>
        <v>-0.43811446680447486</v>
      </c>
      <c r="G13" s="8">
        <f t="shared" si="6"/>
        <v>1.5846494460609826</v>
      </c>
      <c r="H13" s="3">
        <f t="shared" si="0"/>
        <v>2.3348984453937311</v>
      </c>
      <c r="I13" s="3">
        <f t="shared" si="1"/>
        <v>0.8344004467282341</v>
      </c>
      <c r="J13" s="7">
        <f t="shared" si="3"/>
        <v>216.22128568123006</v>
      </c>
      <c r="K13" s="7">
        <f t="shared" si="4"/>
        <v>6.8296814332896867</v>
      </c>
      <c r="O13" s="2" t="s">
        <v>48</v>
      </c>
      <c r="P13" s="2" t="s">
        <v>49</v>
      </c>
      <c r="Q13" s="2"/>
      <c r="R13" s="2"/>
      <c r="S13" s="1">
        <v>1.39E-6</v>
      </c>
      <c r="T13" s="2">
        <v>-7.5509999999999994E-2</v>
      </c>
      <c r="U13" s="2">
        <v>2.4468299999999998</v>
      </c>
      <c r="V13" s="2">
        <v>0.67127000000000003</v>
      </c>
      <c r="W13" s="2"/>
      <c r="X13" s="2"/>
    </row>
    <row r="14" spans="2:24" x14ac:dyDescent="0.2">
      <c r="B14" s="5" t="s">
        <v>13</v>
      </c>
      <c r="C14" s="6">
        <v>91.267206370648935</v>
      </c>
      <c r="D14" s="6">
        <v>57.249858080000003</v>
      </c>
      <c r="E14" s="8">
        <f t="shared" si="2"/>
        <v>0.62727742369477479</v>
      </c>
      <c r="F14" s="8">
        <f t="shared" si="5"/>
        <v>-0.20254034284879724</v>
      </c>
      <c r="G14" s="8">
        <f t="shared" si="6"/>
        <v>1.7577744144154319</v>
      </c>
      <c r="H14" s="3">
        <f t="shared" si="0"/>
        <v>2.5080234137481803</v>
      </c>
      <c r="I14" s="3">
        <f t="shared" si="1"/>
        <v>1.0075254150826836</v>
      </c>
      <c r="J14" s="7">
        <f t="shared" si="3"/>
        <v>322.12424507004533</v>
      </c>
      <c r="K14" s="7">
        <f t="shared" si="4"/>
        <v>10.174789077014207</v>
      </c>
      <c r="O14" s="2" t="s">
        <v>50</v>
      </c>
      <c r="P14" s="2" t="s">
        <v>51</v>
      </c>
      <c r="Q14" s="2"/>
      <c r="R14" s="2"/>
      <c r="S14" s="1">
        <v>3.2300000000000002E-10</v>
      </c>
      <c r="T14" s="2">
        <v>-4.0640000000000003E-2</v>
      </c>
      <c r="U14" s="2">
        <v>2.5318000000000001</v>
      </c>
      <c r="V14" s="2">
        <v>0.88178999999999996</v>
      </c>
      <c r="W14" s="2">
        <v>1.93076</v>
      </c>
      <c r="X14" s="2"/>
    </row>
    <row r="15" spans="2:24" x14ac:dyDescent="0.2">
      <c r="B15" s="5" t="s">
        <v>14</v>
      </c>
      <c r="C15" s="6">
        <v>101.16515398750425</v>
      </c>
      <c r="D15" s="6">
        <v>47.853358710000002</v>
      </c>
      <c r="E15" s="8">
        <f t="shared" si="2"/>
        <v>0.47302215064992403</v>
      </c>
      <c r="F15" s="8">
        <f t="shared" si="5"/>
        <v>-0.32511852167278266</v>
      </c>
      <c r="G15" s="8">
        <f t="shared" si="6"/>
        <v>1.6799124252482418</v>
      </c>
      <c r="H15" s="3">
        <f t="shared" si="0"/>
        <v>2.4301614245809904</v>
      </c>
      <c r="I15" s="3">
        <f t="shared" si="1"/>
        <v>0.92966342591549334</v>
      </c>
      <c r="J15" s="7">
        <f t="shared" si="3"/>
        <v>269.25354167663693</v>
      </c>
      <c r="K15" s="7">
        <f t="shared" si="4"/>
        <v>8.5047866986948257</v>
      </c>
      <c r="O15" s="2" t="s">
        <v>52</v>
      </c>
      <c r="P15" s="2" t="s">
        <v>53</v>
      </c>
      <c r="Q15" s="2"/>
      <c r="R15" s="2"/>
      <c r="S15" s="1">
        <v>1.3399999999999999E-9</v>
      </c>
      <c r="T15" s="2">
        <v>-1.635E-2</v>
      </c>
      <c r="U15" s="2">
        <v>2.58677</v>
      </c>
      <c r="V15" s="2">
        <v>0.73507</v>
      </c>
      <c r="W15" s="2">
        <v>1.81012</v>
      </c>
      <c r="X15" s="2">
        <v>-0.37991000000000003</v>
      </c>
    </row>
    <row r="16" spans="2:24" x14ac:dyDescent="0.2">
      <c r="B16" s="5" t="s">
        <v>15</v>
      </c>
      <c r="C16" s="6">
        <v>95.788899642120555</v>
      </c>
      <c r="D16" s="6">
        <v>63.531843979999998</v>
      </c>
      <c r="E16" s="8">
        <f t="shared" si="2"/>
        <v>0.66324849974645295</v>
      </c>
      <c r="F16" s="8">
        <f t="shared" si="5"/>
        <v>-0.17832372370910679</v>
      </c>
      <c r="G16" s="8">
        <f t="shared" si="6"/>
        <v>1.8029914606983466</v>
      </c>
      <c r="H16" s="3">
        <f t="shared" si="0"/>
        <v>2.5532404600310952</v>
      </c>
      <c r="I16" s="3">
        <f t="shared" si="1"/>
        <v>1.052742461365598</v>
      </c>
      <c r="J16" s="7">
        <f t="shared" si="3"/>
        <v>357.47070763682507</v>
      </c>
      <c r="K16" s="7">
        <f t="shared" si="4"/>
        <v>11.291261390848749</v>
      </c>
    </row>
    <row r="17" spans="2:25" x14ac:dyDescent="0.2">
      <c r="B17" s="5" t="s">
        <v>16</v>
      </c>
      <c r="C17" s="6">
        <v>87.276629006881393</v>
      </c>
      <c r="D17" s="6">
        <v>49.714662689999997</v>
      </c>
      <c r="E17" s="8">
        <f t="shared" si="2"/>
        <v>0.56962171036739062</v>
      </c>
      <c r="F17" s="8">
        <f t="shared" si="5"/>
        <v>-0.24441346650414497</v>
      </c>
      <c r="G17" s="8">
        <f t="shared" si="6"/>
        <v>1.6964844971075039</v>
      </c>
      <c r="H17" s="3">
        <f t="shared" si="0"/>
        <v>2.4467334964402525</v>
      </c>
      <c r="I17" s="3">
        <f t="shared" si="1"/>
        <v>0.94623549777475546</v>
      </c>
      <c r="J17" s="7">
        <f t="shared" si="3"/>
        <v>279.72642596860391</v>
      </c>
      <c r="K17" s="7">
        <f t="shared" si="4"/>
        <v>8.835588835850217</v>
      </c>
    </row>
    <row r="18" spans="2:25" x14ac:dyDescent="0.2">
      <c r="B18" s="5" t="s">
        <v>17</v>
      </c>
      <c r="C18" s="6">
        <v>58.428713376642165</v>
      </c>
      <c r="D18" s="6">
        <v>19.595903580000002</v>
      </c>
      <c r="E18" s="8">
        <f t="shared" si="2"/>
        <v>0.3353813980753132</v>
      </c>
      <c r="F18" s="8">
        <f t="shared" si="5"/>
        <v>-0.47446102919947086</v>
      </c>
      <c r="G18" s="8">
        <f t="shared" si="6"/>
        <v>1.2921652938799777</v>
      </c>
      <c r="H18" s="3">
        <f t="shared" si="0"/>
        <v>2.0424142932127261</v>
      </c>
      <c r="I18" s="3">
        <f t="shared" si="1"/>
        <v>0.54191629454722923</v>
      </c>
      <c r="J18" s="7">
        <f t="shared" si="3"/>
        <v>110.2590619238248</v>
      </c>
      <c r="K18" s="7">
        <f t="shared" si="4"/>
        <v>3.4827018334506854</v>
      </c>
    </row>
    <row r="19" spans="2:25" x14ac:dyDescent="0.2">
      <c r="B19" s="5" t="s">
        <v>18</v>
      </c>
      <c r="C19" s="6">
        <v>60.234840729227543</v>
      </c>
      <c r="D19" s="6">
        <v>46.052385209999997</v>
      </c>
      <c r="E19" s="8">
        <f t="shared" si="2"/>
        <v>0.7645473060519633</v>
      </c>
      <c r="F19" s="8">
        <f t="shared" si="5"/>
        <v>-0.11659563762678736</v>
      </c>
      <c r="G19" s="8">
        <f t="shared" si="6"/>
        <v>1.6632521287069122</v>
      </c>
      <c r="H19" s="3">
        <f t="shared" si="0"/>
        <v>2.4135011280396608</v>
      </c>
      <c r="I19" s="3">
        <f t="shared" si="1"/>
        <v>0.91300312937416372</v>
      </c>
      <c r="J19" s="7">
        <f t="shared" si="3"/>
        <v>259.1201151750729</v>
      </c>
      <c r="K19" s="7">
        <f t="shared" si="4"/>
        <v>8.1847068572708395</v>
      </c>
      <c r="O19" s="2" t="s">
        <v>68</v>
      </c>
      <c r="P19" s="2" t="s">
        <v>0</v>
      </c>
      <c r="Q19" s="2" t="s">
        <v>1</v>
      </c>
      <c r="R19" s="2" t="s">
        <v>55</v>
      </c>
      <c r="S19" s="2" t="s">
        <v>2</v>
      </c>
      <c r="T19" s="2" t="s">
        <v>3</v>
      </c>
    </row>
    <row r="20" spans="2:25" x14ac:dyDescent="0.2">
      <c r="B20" s="5" t="s">
        <v>19</v>
      </c>
      <c r="C20" s="6">
        <v>58.224765170900106</v>
      </c>
      <c r="D20" s="6">
        <v>58.0373886</v>
      </c>
      <c r="E20" s="8">
        <f t="shared" si="2"/>
        <v>0.99678184067638365</v>
      </c>
      <c r="F20" s="8">
        <f t="shared" si="5"/>
        <v>-1.3998825688132344E-3</v>
      </c>
      <c r="G20" s="8">
        <f t="shared" si="6"/>
        <v>1.7637078630674812</v>
      </c>
      <c r="H20" s="3">
        <f t="shared" si="0"/>
        <v>2.5139568624002298</v>
      </c>
      <c r="I20" s="3">
        <f t="shared" si="1"/>
        <v>1.0134588637347326</v>
      </c>
      <c r="J20" s="7">
        <f t="shared" si="3"/>
        <v>326.5553944690559</v>
      </c>
      <c r="K20" s="7">
        <f t="shared" si="4"/>
        <v>10.314753737215002</v>
      </c>
      <c r="O20" s="2" t="s">
        <v>4</v>
      </c>
      <c r="P20" s="2">
        <v>11074.045029999999</v>
      </c>
      <c r="Q20" s="2">
        <v>44.415233999999998</v>
      </c>
      <c r="R20" s="2">
        <v>42.230478419999997</v>
      </c>
      <c r="S20" s="2">
        <v>2.644120274</v>
      </c>
      <c r="T20" s="2">
        <v>1361.111572</v>
      </c>
    </row>
    <row r="21" spans="2:25" x14ac:dyDescent="0.2">
      <c r="B21" s="5" t="s">
        <v>20</v>
      </c>
      <c r="C21" s="6">
        <v>51.405851993677381</v>
      </c>
      <c r="D21" s="6">
        <v>99.185768229999994</v>
      </c>
      <c r="E21" s="8">
        <f t="shared" si="2"/>
        <v>1.9294645333803486</v>
      </c>
      <c r="F21" s="8">
        <f t="shared" si="5"/>
        <v>0.28543679995910198</v>
      </c>
      <c r="G21" s="8">
        <f t="shared" si="6"/>
        <v>1.9964493614426344</v>
      </c>
      <c r="H21" s="3">
        <f t="shared" si="0"/>
        <v>2.7466983607753828</v>
      </c>
      <c r="I21" s="3">
        <f t="shared" si="1"/>
        <v>1.2462003621098861</v>
      </c>
      <c r="J21" s="7">
        <f t="shared" si="3"/>
        <v>558.08244394483268</v>
      </c>
      <c r="K21" s="7">
        <f t="shared" si="4"/>
        <v>17.627891230256591</v>
      </c>
      <c r="O21" s="2" t="s">
        <v>5</v>
      </c>
      <c r="P21" s="2">
        <v>283.46132499999999</v>
      </c>
      <c r="Q21" s="2">
        <v>16.60461617</v>
      </c>
      <c r="R21" s="2">
        <v>44.851546450000001</v>
      </c>
      <c r="S21" s="2">
        <v>10.26729358</v>
      </c>
      <c r="T21" s="2">
        <v>1383.4262699999999</v>
      </c>
    </row>
    <row r="22" spans="2:25" x14ac:dyDescent="0.2">
      <c r="B22" s="5" t="s">
        <v>21</v>
      </c>
      <c r="C22" s="6">
        <v>76.14380431155115</v>
      </c>
      <c r="D22" s="6">
        <v>33.745095970000001</v>
      </c>
      <c r="E22" s="8">
        <f t="shared" si="2"/>
        <v>0.44317586013864047</v>
      </c>
      <c r="F22" s="8">
        <f t="shared" si="5"/>
        <v>-0.35342390372661348</v>
      </c>
      <c r="G22" s="8">
        <f t="shared" si="6"/>
        <v>1.5282106675991196</v>
      </c>
      <c r="H22" s="3">
        <f t="shared" si="0"/>
        <v>2.2784596669318682</v>
      </c>
      <c r="I22" s="3">
        <f t="shared" si="1"/>
        <v>0.77796166826637114</v>
      </c>
      <c r="J22" s="7">
        <f t="shared" si="3"/>
        <v>189.87144996871029</v>
      </c>
      <c r="K22" s="7">
        <f t="shared" si="4"/>
        <v>5.9973813978466373</v>
      </c>
      <c r="O22" s="2" t="s">
        <v>6</v>
      </c>
      <c r="P22" s="2">
        <v>1346.0089499999999</v>
      </c>
      <c r="Q22" s="2">
        <v>42.95970535</v>
      </c>
      <c r="R22" s="2">
        <v>59.866829009999996</v>
      </c>
      <c r="S22" s="2">
        <v>3.9752277920000001</v>
      </c>
      <c r="T22" s="2">
        <v>1349.4410399999999</v>
      </c>
    </row>
    <row r="23" spans="2:25" x14ac:dyDescent="0.2">
      <c r="B23" s="5" t="s">
        <v>22</v>
      </c>
      <c r="C23" s="6">
        <v>87.618356180072794</v>
      </c>
      <c r="D23" s="6">
        <v>150.38375049999999</v>
      </c>
      <c r="E23" s="8">
        <f t="shared" si="2"/>
        <v>1.7163498273230793</v>
      </c>
      <c r="F23" s="8">
        <f t="shared" si="5"/>
        <v>0.23460581066417274</v>
      </c>
      <c r="G23" s="8">
        <f t="shared" si="6"/>
        <v>2.1772009117247682</v>
      </c>
      <c r="H23" s="3">
        <f t="shared" si="0"/>
        <v>2.9274499110575167</v>
      </c>
      <c r="I23" s="3">
        <f t="shared" si="1"/>
        <v>1.4269519123920196</v>
      </c>
      <c r="J23" s="7">
        <f t="shared" si="3"/>
        <v>846.15497269743776</v>
      </c>
      <c r="K23" s="7">
        <f t="shared" si="4"/>
        <v>26.727104542506645</v>
      </c>
      <c r="O23" s="2" t="s">
        <v>7</v>
      </c>
      <c r="P23" s="2">
        <v>173.429125</v>
      </c>
      <c r="Q23" s="2">
        <v>9.9980983729999995</v>
      </c>
      <c r="R23" s="2">
        <v>60.208528829999999</v>
      </c>
      <c r="S23" s="2">
        <v>8.9711923729999992</v>
      </c>
      <c r="T23" s="2">
        <v>1380.212524</v>
      </c>
    </row>
    <row r="24" spans="2:25" x14ac:dyDescent="0.2">
      <c r="B24" s="5" t="s">
        <v>23</v>
      </c>
      <c r="C24" s="6">
        <v>105.66629947698272</v>
      </c>
      <c r="D24" s="6">
        <v>126.3670217</v>
      </c>
      <c r="E24" s="8">
        <f t="shared" si="2"/>
        <v>1.1959065693175572</v>
      </c>
      <c r="F24" s="8">
        <f t="shared" si="5"/>
        <v>7.7697251546364421E-2</v>
      </c>
      <c r="G24" s="8">
        <f t="shared" si="6"/>
        <v>2.101633749876656</v>
      </c>
      <c r="H24" s="3">
        <f t="shared" si="0"/>
        <v>2.8518827492094045</v>
      </c>
      <c r="I24" s="3">
        <f t="shared" si="1"/>
        <v>1.3513847505439074</v>
      </c>
      <c r="J24" s="7">
        <f t="shared" si="3"/>
        <v>711.02152620152947</v>
      </c>
      <c r="K24" s="7">
        <f t="shared" si="4"/>
        <v>22.458707064239015</v>
      </c>
      <c r="O24" s="2" t="s">
        <v>8</v>
      </c>
      <c r="P24" s="2">
        <v>518.56915000000004</v>
      </c>
      <c r="Q24" s="2">
        <v>19.950731000000001</v>
      </c>
      <c r="R24" s="2">
        <v>50.631929249999999</v>
      </c>
      <c r="S24" s="2">
        <v>7.0359262960000004</v>
      </c>
      <c r="T24" s="2">
        <v>1327.395996</v>
      </c>
    </row>
    <row r="25" spans="2:25" x14ac:dyDescent="0.2">
      <c r="B25" s="5" t="s">
        <v>24</v>
      </c>
      <c r="C25" s="6">
        <v>65.447218270274789</v>
      </c>
      <c r="D25" s="6">
        <v>127.6473065</v>
      </c>
      <c r="E25" s="8">
        <f t="shared" si="2"/>
        <v>1.9503855148260079</v>
      </c>
      <c r="F25" s="8">
        <f t="shared" si="5"/>
        <v>0.29012046285670284</v>
      </c>
      <c r="G25" s="8">
        <f t="shared" si="6"/>
        <v>2.1060116551408279</v>
      </c>
      <c r="H25" s="3">
        <f t="shared" si="0"/>
        <v>2.8562606544735765</v>
      </c>
      <c r="I25" s="3">
        <f t="shared" si="1"/>
        <v>1.3557626558080793</v>
      </c>
      <c r="J25" s="7">
        <f t="shared" si="3"/>
        <v>718.22522571286038</v>
      </c>
      <c r="K25" s="7">
        <f t="shared" si="4"/>
        <v>22.686246978491781</v>
      </c>
      <c r="O25" s="2" t="s">
        <v>9</v>
      </c>
      <c r="P25" s="2">
        <v>8822.7360250000002</v>
      </c>
      <c r="Q25" s="2">
        <v>46.774070999999999</v>
      </c>
      <c r="R25" s="2">
        <v>38.190340089999999</v>
      </c>
      <c r="S25" s="2">
        <v>2.096528041</v>
      </c>
      <c r="T25" s="2">
        <v>1328.5541989999999</v>
      </c>
    </row>
    <row r="26" spans="2:25" x14ac:dyDescent="0.2">
      <c r="B26" s="5" t="s">
        <v>25</v>
      </c>
      <c r="C26" s="6">
        <v>84.068239990206621</v>
      </c>
      <c r="D26" s="6">
        <v>151.52672749999999</v>
      </c>
      <c r="E26" s="8">
        <f t="shared" si="2"/>
        <v>1.8024253572770386</v>
      </c>
      <c r="F26" s="8">
        <f t="shared" si="5"/>
        <v>0.25585728859595036</v>
      </c>
      <c r="G26" s="8">
        <f t="shared" si="6"/>
        <v>2.1804892439405257</v>
      </c>
      <c r="H26" s="3">
        <f t="shared" si="0"/>
        <v>2.9307382432732743</v>
      </c>
      <c r="I26" s="3">
        <f t="shared" si="1"/>
        <v>1.4302402446077771</v>
      </c>
      <c r="J26" s="7">
        <f t="shared" si="3"/>
        <v>852.58609088017511</v>
      </c>
      <c r="K26" s="7">
        <f t="shared" si="4"/>
        <v>26.930241288778191</v>
      </c>
      <c r="O26" s="2" t="s">
        <v>10</v>
      </c>
      <c r="P26" s="2">
        <v>306.65910000000002</v>
      </c>
      <c r="Q26" s="2">
        <v>42.84897995</v>
      </c>
      <c r="R26" s="2">
        <v>40.626034220000001</v>
      </c>
      <c r="S26" s="2">
        <v>3.3900022179999998</v>
      </c>
      <c r="T26" s="2">
        <v>1414.263794</v>
      </c>
    </row>
    <row r="27" spans="2:25" x14ac:dyDescent="0.2">
      <c r="B27" s="5" t="s">
        <v>26</v>
      </c>
      <c r="C27" s="6">
        <v>125.94809332168064</v>
      </c>
      <c r="D27" s="6">
        <v>59.765026890000001</v>
      </c>
      <c r="E27" s="8">
        <f t="shared" si="2"/>
        <v>0.47452109288670014</v>
      </c>
      <c r="F27" s="8">
        <f t="shared" si="5"/>
        <v>-0.32374447802973066</v>
      </c>
      <c r="G27" s="8">
        <f t="shared" si="6"/>
        <v>1.7764471192419506</v>
      </c>
      <c r="H27" s="3">
        <f t="shared" si="0"/>
        <v>2.5266961185746992</v>
      </c>
      <c r="I27" s="3">
        <f t="shared" si="1"/>
        <v>1.0261981199092021</v>
      </c>
      <c r="J27" s="7">
        <f t="shared" si="3"/>
        <v>336.27619026810726</v>
      </c>
      <c r="K27" s="7">
        <f t="shared" si="4"/>
        <v>10.621800004081898</v>
      </c>
      <c r="O27" s="2" t="s">
        <v>11</v>
      </c>
      <c r="P27" s="2">
        <v>175.2809</v>
      </c>
      <c r="Q27" s="2">
        <v>27.950962069999999</v>
      </c>
      <c r="R27" s="2">
        <v>52.941684180000003</v>
      </c>
      <c r="S27" s="2">
        <v>3.6360031880000001</v>
      </c>
      <c r="T27" s="2">
        <v>1193.882202</v>
      </c>
      <c r="W27" t="s">
        <v>97</v>
      </c>
      <c r="X27" t="s">
        <v>98</v>
      </c>
      <c r="Y27" t="s">
        <v>99</v>
      </c>
    </row>
    <row r="28" spans="2:25" x14ac:dyDescent="0.2">
      <c r="B28" s="5" t="s">
        <v>27</v>
      </c>
      <c r="C28" s="6">
        <v>134.02757021233063</v>
      </c>
      <c r="D28" s="6">
        <v>97.497305679999997</v>
      </c>
      <c r="E28" s="8">
        <f t="shared" si="2"/>
        <v>0.72744216376930315</v>
      </c>
      <c r="F28" s="8">
        <f t="shared" si="5"/>
        <v>-0.13820153011433972</v>
      </c>
      <c r="G28" s="8">
        <f t="shared" si="6"/>
        <v>1.9889926142167269</v>
      </c>
      <c r="H28" s="3">
        <f t="shared" si="0"/>
        <v>2.7392416135494755</v>
      </c>
      <c r="I28" s="3">
        <f t="shared" si="1"/>
        <v>1.2387436148839783</v>
      </c>
      <c r="J28" s="7">
        <f t="shared" si="3"/>
        <v>548.58207586553124</v>
      </c>
      <c r="K28" s="7">
        <f t="shared" si="4"/>
        <v>17.327807511504293</v>
      </c>
      <c r="O28" s="2" t="s">
        <v>12</v>
      </c>
      <c r="P28" s="2">
        <v>614.44962499999997</v>
      </c>
      <c r="Q28" s="2">
        <v>47.116085050000002</v>
      </c>
      <c r="R28" s="2">
        <v>45.20805636</v>
      </c>
      <c r="S28" s="2">
        <v>2.5086995499999998</v>
      </c>
      <c r="T28" s="2">
        <v>1259.6881100000001</v>
      </c>
      <c r="V28" t="s">
        <v>39</v>
      </c>
      <c r="W28">
        <f>AVERAGE(P20:P48)</f>
        <v>3481.7775943103447</v>
      </c>
      <c r="X28">
        <f>MIN(P20:P48)</f>
        <v>173.429125</v>
      </c>
      <c r="Y28">
        <v>20380</v>
      </c>
    </row>
    <row r="29" spans="2:25" x14ac:dyDescent="0.2">
      <c r="B29" s="5" t="s">
        <v>28</v>
      </c>
      <c r="C29" s="6">
        <v>82.408775183218722</v>
      </c>
      <c r="D29" s="6">
        <v>124.82689329999999</v>
      </c>
      <c r="E29" s="8">
        <f t="shared" si="2"/>
        <v>1.514728170907448</v>
      </c>
      <c r="F29" s="8">
        <f t="shared" si="5"/>
        <v>0.18033470249700378</v>
      </c>
      <c r="G29" s="8">
        <f t="shared" si="6"/>
        <v>2.0963081618972401</v>
      </c>
      <c r="H29" s="3">
        <f t="shared" si="0"/>
        <v>2.8465571612299887</v>
      </c>
      <c r="I29" s="3">
        <f t="shared" si="1"/>
        <v>1.3460591625644915</v>
      </c>
      <c r="J29" s="7">
        <f t="shared" si="3"/>
        <v>702.35578073421823</v>
      </c>
      <c r="K29" s="7">
        <f t="shared" si="4"/>
        <v>22.184986182702108</v>
      </c>
      <c r="O29" s="2" t="s">
        <v>13</v>
      </c>
      <c r="P29" s="2">
        <v>1239.1284000000001</v>
      </c>
      <c r="Q29" s="2">
        <v>41.313060759999999</v>
      </c>
      <c r="R29" s="2">
        <v>49.845964090000002</v>
      </c>
      <c r="S29" s="2">
        <v>2.9365904789999999</v>
      </c>
      <c r="T29" s="2">
        <v>1265.52124</v>
      </c>
      <c r="V29" t="s">
        <v>40</v>
      </c>
      <c r="W29" s="2">
        <f>AVERAGE(T20:T48)</f>
        <v>1287.3074740344825</v>
      </c>
      <c r="X29" s="2">
        <f>MIN(T20:T48)</f>
        <v>1072.4573969999999</v>
      </c>
      <c r="Y29" s="2">
        <f>MAX(T20:T48)</f>
        <v>1424.994263</v>
      </c>
    </row>
    <row r="30" spans="2:25" x14ac:dyDescent="0.2">
      <c r="B30" s="5" t="s">
        <v>29</v>
      </c>
      <c r="C30" s="6">
        <v>103.58693654947963</v>
      </c>
      <c r="D30" s="6">
        <v>163.69585509999999</v>
      </c>
      <c r="E30" s="8">
        <f t="shared" si="2"/>
        <v>1.5802750863455506</v>
      </c>
      <c r="F30" s="8">
        <f t="shared" si="5"/>
        <v>0.19873269333611862</v>
      </c>
      <c r="G30" s="8">
        <f t="shared" si="6"/>
        <v>2.2140376828939949</v>
      </c>
      <c r="H30" s="3">
        <f t="shared" si="0"/>
        <v>2.9642866822267435</v>
      </c>
      <c r="I30" s="3">
        <f t="shared" si="1"/>
        <v>1.4637886835612464</v>
      </c>
      <c r="J30" s="7">
        <f t="shared" si="3"/>
        <v>921.0573705090851</v>
      </c>
      <c r="K30" s="7">
        <f t="shared" si="4"/>
        <v>29.093011830641373</v>
      </c>
      <c r="O30" s="2" t="s">
        <v>14</v>
      </c>
      <c r="P30" s="2">
        <v>749.87445000000002</v>
      </c>
      <c r="Q30" s="2">
        <v>43.007221219999998</v>
      </c>
      <c r="R30" s="2">
        <v>45.077372240000003</v>
      </c>
      <c r="S30" s="2">
        <v>2.5308698079999998</v>
      </c>
      <c r="T30" s="2">
        <v>1205.138794</v>
      </c>
      <c r="V30" t="s">
        <v>41</v>
      </c>
      <c r="W30" s="2">
        <f>AVERAGE(S20:S48)</f>
        <v>5.3372293826551731</v>
      </c>
      <c r="X30" s="2">
        <f>MIN(S20:S48)</f>
        <v>2.096528041</v>
      </c>
      <c r="Y30" s="2">
        <f>MAX(S20:S48)</f>
        <v>15.04391616</v>
      </c>
    </row>
    <row r="31" spans="2:25" x14ac:dyDescent="0.2">
      <c r="B31" s="5" t="s">
        <v>30</v>
      </c>
      <c r="C31" s="6">
        <v>106.62516644644789</v>
      </c>
      <c r="D31" s="6">
        <v>45.773785269999998</v>
      </c>
      <c r="E31" s="8">
        <f t="shared" si="2"/>
        <v>0.42929626086904837</v>
      </c>
      <c r="F31" s="8">
        <f t="shared" si="5"/>
        <v>-0.36724289416908512</v>
      </c>
      <c r="G31" s="8">
        <f t="shared" si="6"/>
        <v>1.6606168279592954</v>
      </c>
      <c r="H31" s="3">
        <f t="shared" si="0"/>
        <v>2.410865827292044</v>
      </c>
      <c r="I31" s="3">
        <f t="shared" si="1"/>
        <v>0.91036782862654697</v>
      </c>
      <c r="J31" s="7">
        <f t="shared" si="3"/>
        <v>257.55253407777724</v>
      </c>
      <c r="K31" s="7">
        <f t="shared" si="4"/>
        <v>8.1351924004418343</v>
      </c>
      <c r="O31" s="2" t="s">
        <v>15</v>
      </c>
      <c r="P31" s="2">
        <v>978.75772500000005</v>
      </c>
      <c r="Q31" s="2">
        <v>36.665031429999999</v>
      </c>
      <c r="R31" s="2">
        <v>55.898989360000002</v>
      </c>
      <c r="S31" s="2">
        <v>3.704174869</v>
      </c>
      <c r="T31" s="2">
        <v>1104.4101559999999</v>
      </c>
      <c r="V31" t="s">
        <v>94</v>
      </c>
      <c r="W31" s="2">
        <f>AVERAGE(R20:R48)</f>
        <v>42.666031055862071</v>
      </c>
      <c r="X31" s="2">
        <v>22</v>
      </c>
      <c r="Y31" s="2">
        <f>MAX(R20:R48)</f>
        <v>60.208528829999999</v>
      </c>
    </row>
    <row r="32" spans="2:25" x14ac:dyDescent="0.2">
      <c r="B32" s="5" t="s">
        <v>31</v>
      </c>
      <c r="C32" s="6">
        <v>107.72672631067087</v>
      </c>
      <c r="D32" s="6">
        <v>40.368555899999997</v>
      </c>
      <c r="E32" s="8">
        <f t="shared" si="2"/>
        <v>0.37473111160532213</v>
      </c>
      <c r="F32" s="8">
        <f t="shared" si="5"/>
        <v>-0.42628024862595965</v>
      </c>
      <c r="G32" s="8">
        <f t="shared" si="6"/>
        <v>1.6060432137184906</v>
      </c>
      <c r="H32" s="3">
        <f t="shared" si="0"/>
        <v>2.3562922130512391</v>
      </c>
      <c r="I32" s="3">
        <f t="shared" si="1"/>
        <v>0.8557942143857421</v>
      </c>
      <c r="J32" s="7">
        <f t="shared" si="3"/>
        <v>227.13926339667594</v>
      </c>
      <c r="K32" s="7">
        <f t="shared" si="4"/>
        <v>7.1745425299080017</v>
      </c>
      <c r="O32" s="2" t="s">
        <v>16</v>
      </c>
      <c r="P32" s="2">
        <v>1541.1055249999999</v>
      </c>
      <c r="Q32" s="2">
        <v>34.078544620000002</v>
      </c>
      <c r="R32" s="2">
        <v>22.52020649</v>
      </c>
      <c r="S32" s="2">
        <v>6.2425123280000001</v>
      </c>
      <c r="T32" s="2">
        <v>1072.4573969999999</v>
      </c>
      <c r="V32" t="s">
        <v>95</v>
      </c>
      <c r="W32" s="2">
        <f>AVERAGE(Q20:Q48)</f>
        <v>34.044937484931033</v>
      </c>
      <c r="X32" s="2">
        <f>MIN(Q20:Q48)</f>
        <v>9.9980983729999995</v>
      </c>
      <c r="Y32" s="2">
        <f>MAX(Q20:Q48)</f>
        <v>47.116085050000002</v>
      </c>
    </row>
    <row r="33" spans="2:20" x14ac:dyDescent="0.2">
      <c r="B33" s="5" t="s">
        <v>32</v>
      </c>
      <c r="C33" s="6">
        <v>72.465944918672832</v>
      </c>
      <c r="D33" s="6">
        <v>45.179256979999998</v>
      </c>
      <c r="E33" s="8">
        <f t="shared" si="2"/>
        <v>0.62345501781152279</v>
      </c>
      <c r="F33" s="8">
        <f t="shared" si="5"/>
        <v>-0.20519487533854999</v>
      </c>
      <c r="G33" s="8">
        <f t="shared" si="6"/>
        <v>1.6549390842173806</v>
      </c>
      <c r="H33" s="3">
        <f t="shared" si="0"/>
        <v>2.4051880835501289</v>
      </c>
      <c r="I33" s="3">
        <f t="shared" si="1"/>
        <v>0.9046900848846321</v>
      </c>
      <c r="J33" s="7">
        <f t="shared" si="3"/>
        <v>254.20733842119728</v>
      </c>
      <c r="K33" s="7">
        <f t="shared" si="4"/>
        <v>8.0295292572666135</v>
      </c>
      <c r="O33" s="2" t="s">
        <v>17</v>
      </c>
      <c r="P33" s="2">
        <v>10912.843849999999</v>
      </c>
      <c r="Q33" s="2">
        <v>37.664645810000003</v>
      </c>
      <c r="R33" s="2">
        <v>44.910750960000001</v>
      </c>
      <c r="S33" s="2">
        <v>2.883250716</v>
      </c>
      <c r="T33" s="2">
        <v>1074.2685550000001</v>
      </c>
    </row>
    <row r="34" spans="2:20" s="2" customFormat="1" x14ac:dyDescent="0.25">
      <c r="B34" s="111" t="s">
        <v>82</v>
      </c>
      <c r="C34" s="6">
        <v>10</v>
      </c>
      <c r="D34" s="6">
        <v>10</v>
      </c>
      <c r="E34" s="8"/>
      <c r="F34" s="8"/>
      <c r="G34" s="8">
        <f t="shared" si="6"/>
        <v>1</v>
      </c>
      <c r="H34" s="3">
        <f t="shared" si="0"/>
        <v>1.7502489993327486</v>
      </c>
      <c r="I34" s="3">
        <f t="shared" si="1"/>
        <v>0.24975100066725153</v>
      </c>
      <c r="J34" s="7">
        <f t="shared" ref="J34:J36" si="7">10^H34</f>
        <v>56.266383162018379</v>
      </c>
      <c r="K34" s="7">
        <f t="shared" ref="K34:K36" si="8">10^I34</f>
        <v>1.7772601397187953</v>
      </c>
      <c r="O34" s="2" t="s">
        <v>18</v>
      </c>
      <c r="P34" s="2">
        <v>9406.825675</v>
      </c>
      <c r="Q34" s="2">
        <v>38.580826360000003</v>
      </c>
      <c r="R34" s="2">
        <v>43.635598379999998</v>
      </c>
      <c r="S34" s="2">
        <v>2.5899455140000001</v>
      </c>
      <c r="T34" s="2">
        <v>1140.8927000000001</v>
      </c>
    </row>
    <row r="35" spans="2:20" s="2" customFormat="1" x14ac:dyDescent="0.25">
      <c r="B35" s="111"/>
      <c r="C35" s="6">
        <v>1200</v>
      </c>
      <c r="D35" s="6">
        <v>1200</v>
      </c>
      <c r="E35" s="8"/>
      <c r="F35" s="8"/>
      <c r="G35" s="8">
        <f t="shared" si="6"/>
        <v>3.0791812460476247</v>
      </c>
      <c r="H35" s="3">
        <f t="shared" si="0"/>
        <v>3.8294302453803732</v>
      </c>
      <c r="I35" s="3">
        <f t="shared" si="1"/>
        <v>2.3289322467148761</v>
      </c>
      <c r="J35" s="7">
        <f t="shared" si="7"/>
        <v>6751.9659794422096</v>
      </c>
      <c r="K35" s="7">
        <f t="shared" si="8"/>
        <v>213.27121676625538</v>
      </c>
      <c r="O35" s="2" t="s">
        <v>19</v>
      </c>
      <c r="P35" s="2">
        <v>11100.579100000001</v>
      </c>
      <c r="Q35" s="2">
        <v>37.473003159999998</v>
      </c>
      <c r="R35" s="2">
        <v>44.90685817</v>
      </c>
      <c r="S35" s="2">
        <v>3.09892565</v>
      </c>
      <c r="T35" s="2">
        <v>1089.1606449999999</v>
      </c>
    </row>
    <row r="36" spans="2:20" s="2" customFormat="1" x14ac:dyDescent="0.2">
      <c r="B36" s="11" t="s">
        <v>83</v>
      </c>
      <c r="C36" s="6">
        <f>Q62</f>
        <v>90.121004767413012</v>
      </c>
      <c r="E36" s="8"/>
      <c r="F36" s="8"/>
      <c r="G36" s="8">
        <f>LOG(C36)</f>
        <v>1.9548260250681107</v>
      </c>
      <c r="H36" s="3">
        <f t="shared" si="0"/>
        <v>2.705075024400859</v>
      </c>
      <c r="I36" s="3">
        <f t="shared" si="1"/>
        <v>1.2045770257353623</v>
      </c>
      <c r="J36" s="7">
        <f t="shared" si="7"/>
        <v>507.07829851893433</v>
      </c>
      <c r="K36" s="7">
        <f t="shared" si="8"/>
        <v>16.016846952453079</v>
      </c>
      <c r="O36" s="2" t="s">
        <v>20</v>
      </c>
      <c r="P36" s="2">
        <v>20380.957480000001</v>
      </c>
      <c r="Q36" s="2">
        <v>35.3232</v>
      </c>
      <c r="R36" s="2">
        <v>40.617932209999999</v>
      </c>
      <c r="S36" s="2">
        <v>4.187843269</v>
      </c>
      <c r="T36" s="2">
        <v>1339.411865</v>
      </c>
    </row>
    <row r="37" spans="2:20" x14ac:dyDescent="0.2">
      <c r="B37" s="5"/>
      <c r="C37" s="5"/>
      <c r="F37" s="5" t="s">
        <v>62</v>
      </c>
      <c r="G37" s="9">
        <f>AVERAGE(F5:F33)</f>
        <v>2.2672404693887999E-5</v>
      </c>
      <c r="H37" s="5" t="s">
        <v>63</v>
      </c>
      <c r="I37" s="8">
        <f>STDEV(F5:F33)</f>
        <v>0.3827801017003819</v>
      </c>
      <c r="J37" t="s">
        <v>84</v>
      </c>
      <c r="K37" s="8">
        <f>1.96*I37</f>
        <v>0.75024899933274847</v>
      </c>
      <c r="O37" s="2" t="s">
        <v>21</v>
      </c>
      <c r="P37" s="2">
        <v>2998.6245749999998</v>
      </c>
      <c r="Q37" s="2">
        <v>39.430065159999998</v>
      </c>
      <c r="R37" s="2">
        <v>37.885560439999999</v>
      </c>
      <c r="S37" s="2">
        <v>3.9328086519999998</v>
      </c>
      <c r="T37" s="2">
        <v>1406.7407229999999</v>
      </c>
    </row>
    <row r="38" spans="2:20" x14ac:dyDescent="0.2">
      <c r="B38" s="5"/>
      <c r="C38" s="5"/>
      <c r="D38" s="5"/>
      <c r="H38" s="3"/>
      <c r="O38" s="2" t="s">
        <v>22</v>
      </c>
      <c r="P38" s="2">
        <v>1512.0065</v>
      </c>
      <c r="Q38" s="2">
        <v>34.364509580000004</v>
      </c>
      <c r="R38" s="2">
        <v>57.665653229999997</v>
      </c>
      <c r="S38" s="2">
        <v>3.5696019329999999</v>
      </c>
      <c r="T38" s="2">
        <v>1228.2991939999999</v>
      </c>
    </row>
    <row r="39" spans="2:20" x14ac:dyDescent="0.2">
      <c r="O39" s="2" t="s">
        <v>23</v>
      </c>
      <c r="P39" s="2">
        <v>606.41</v>
      </c>
      <c r="Q39" s="2">
        <v>33.284910000000004</v>
      </c>
      <c r="R39" s="2">
        <v>43.106066140000003</v>
      </c>
      <c r="S39" s="2">
        <v>14.570169119999999</v>
      </c>
      <c r="T39" s="2">
        <v>1350.6345209999999</v>
      </c>
    </row>
    <row r="40" spans="2:20" x14ac:dyDescent="0.2">
      <c r="B40" s="110" t="s">
        <v>35</v>
      </c>
      <c r="C40" s="110"/>
      <c r="D40" s="110"/>
      <c r="E40" s="110"/>
      <c r="O40" s="2" t="s">
        <v>24</v>
      </c>
      <c r="P40" s="2">
        <v>6275.1123500000003</v>
      </c>
      <c r="Q40" s="2">
        <v>34.394855</v>
      </c>
      <c r="R40" s="2">
        <v>45.268222780000002</v>
      </c>
      <c r="S40" s="2">
        <v>5.7079567449999997</v>
      </c>
      <c r="T40" s="2">
        <v>1322.789673</v>
      </c>
    </row>
    <row r="41" spans="2:20" x14ac:dyDescent="0.25">
      <c r="B41" s="111" t="s">
        <v>33</v>
      </c>
      <c r="C41" s="51" t="s">
        <v>105</v>
      </c>
      <c r="D41" s="5" t="s">
        <v>58</v>
      </c>
      <c r="E41" s="5" t="s">
        <v>60</v>
      </c>
      <c r="F41" s="5" t="s">
        <v>59</v>
      </c>
      <c r="G41" s="5" t="s">
        <v>66</v>
      </c>
      <c r="H41" s="5" t="s">
        <v>64</v>
      </c>
      <c r="I41" s="5" t="s">
        <v>65</v>
      </c>
      <c r="J41" s="5" t="s">
        <v>64</v>
      </c>
      <c r="K41" s="5" t="s">
        <v>65</v>
      </c>
      <c r="O41" s="2" t="s">
        <v>25</v>
      </c>
      <c r="P41" s="2">
        <v>1850.0299500000001</v>
      </c>
      <c r="Q41" s="2">
        <v>23.951532</v>
      </c>
      <c r="R41" s="2">
        <v>46.572832130000002</v>
      </c>
      <c r="S41" s="2">
        <v>8.1623604160000003</v>
      </c>
      <c r="T41" s="2">
        <v>1306.290283</v>
      </c>
    </row>
    <row r="42" spans="2:20" x14ac:dyDescent="0.25">
      <c r="B42" s="111"/>
      <c r="C42" s="5" t="s">
        <v>57</v>
      </c>
      <c r="D42" s="5" t="s">
        <v>57</v>
      </c>
      <c r="E42" s="5" t="s">
        <v>61</v>
      </c>
      <c r="F42" s="5"/>
      <c r="G42" s="5"/>
      <c r="H42" s="110" t="s">
        <v>67</v>
      </c>
      <c r="I42" s="110"/>
      <c r="J42" s="2"/>
      <c r="K42" s="2"/>
      <c r="O42" s="2" t="s">
        <v>26</v>
      </c>
      <c r="P42" s="2">
        <v>257.50772499999999</v>
      </c>
      <c r="Q42" s="2">
        <v>41.589801999999999</v>
      </c>
      <c r="R42" s="2">
        <v>39.67125351</v>
      </c>
      <c r="S42" s="2">
        <v>2.220548178</v>
      </c>
      <c r="T42" s="2">
        <v>1318.7861330000001</v>
      </c>
    </row>
    <row r="43" spans="2:20" x14ac:dyDescent="0.2">
      <c r="B43" s="5" t="s">
        <v>4</v>
      </c>
      <c r="C43" s="10">
        <f t="shared" ref="C43:C71" si="9">$S$12*(P20^$T$12)*(T20^($U$12))</f>
        <v>79.58756668027813</v>
      </c>
      <c r="D43" s="6">
        <v>133.3445475</v>
      </c>
      <c r="E43" s="8">
        <f>D43/C43</f>
        <v>1.6754444577464749</v>
      </c>
      <c r="F43" s="8">
        <f>LOG(E43)</f>
        <v>0.2241300352187148</v>
      </c>
      <c r="G43" s="8">
        <f>LOG(D43)</f>
        <v>2.124975261952585</v>
      </c>
      <c r="H43" s="3">
        <f t="shared" ref="H43:H74" si="10">G43+$K$75</f>
        <v>2.8330883392961184</v>
      </c>
      <c r="I43" s="3">
        <f t="shared" ref="I43:I74" si="11">G43-$K$75</f>
        <v>1.4168621846090517</v>
      </c>
      <c r="J43" s="3">
        <f>10^H43</f>
        <v>680.90784721997045</v>
      </c>
      <c r="K43" s="3">
        <f>10^I43</f>
        <v>26.113325643955456</v>
      </c>
      <c r="O43" s="2" t="s">
        <v>27</v>
      </c>
      <c r="P43" s="2">
        <v>190.1387</v>
      </c>
      <c r="Q43" s="2">
        <v>21.303265</v>
      </c>
      <c r="R43" s="2">
        <v>28.127380370000001</v>
      </c>
      <c r="S43" s="2">
        <v>4.4810793159999998</v>
      </c>
      <c r="T43" s="2">
        <v>1265.5360109999999</v>
      </c>
    </row>
    <row r="44" spans="2:20" x14ac:dyDescent="0.2">
      <c r="B44" s="5" t="s">
        <v>5</v>
      </c>
      <c r="C44" s="10">
        <f t="shared" si="9"/>
        <v>148.31227207544256</v>
      </c>
      <c r="D44" s="6">
        <v>530.07671349999998</v>
      </c>
      <c r="E44" s="8">
        <f t="shared" ref="E44:E71" si="12">D44/C44</f>
        <v>3.574058343805588</v>
      </c>
      <c r="F44" s="8">
        <f t="shared" ref="F44:F71" si="13">LOG(E44)</f>
        <v>0.55316163775720351</v>
      </c>
      <c r="G44" s="8">
        <f t="shared" ref="G44:G73" si="14">LOG(D44)</f>
        <v>2.7243387259004725</v>
      </c>
      <c r="H44" s="3">
        <f t="shared" si="10"/>
        <v>3.4324518032440059</v>
      </c>
      <c r="I44" s="3">
        <f t="shared" si="11"/>
        <v>2.0162256485569392</v>
      </c>
      <c r="J44" s="3">
        <f t="shared" ref="J44:J74" si="15">10^H44</f>
        <v>2706.7727973708274</v>
      </c>
      <c r="K44" s="3">
        <f t="shared" ref="K44:K74" si="16">10^I44</f>
        <v>103.80676297171568</v>
      </c>
      <c r="O44" s="2" t="s">
        <v>28</v>
      </c>
      <c r="P44" s="2">
        <v>2038.9910749999999</v>
      </c>
      <c r="Q44" s="2">
        <v>27.884906999999998</v>
      </c>
      <c r="R44" s="2">
        <v>29.774589639999999</v>
      </c>
      <c r="S44" s="2">
        <v>8.8053000590000003</v>
      </c>
      <c r="T44" s="2">
        <v>1330.6016850000001</v>
      </c>
    </row>
    <row r="45" spans="2:20" x14ac:dyDescent="0.2">
      <c r="B45" s="5" t="s">
        <v>6</v>
      </c>
      <c r="C45" s="10">
        <f t="shared" si="9"/>
        <v>106.90099343975879</v>
      </c>
      <c r="D45" s="6">
        <v>1102.0513739999999</v>
      </c>
      <c r="E45" s="8">
        <f t="shared" si="12"/>
        <v>10.309084495281436</v>
      </c>
      <c r="F45" s="8">
        <f t="shared" si="13"/>
        <v>1.013220099201906</v>
      </c>
      <c r="G45" s="8">
        <f t="shared" si="14"/>
        <v>3.0422018403639171</v>
      </c>
      <c r="H45" s="3">
        <f t="shared" si="10"/>
        <v>3.7503149177074504</v>
      </c>
      <c r="I45" s="3">
        <f t="shared" si="11"/>
        <v>2.3340887630203837</v>
      </c>
      <c r="J45" s="3">
        <f t="shared" si="15"/>
        <v>5627.492407187864</v>
      </c>
      <c r="K45" s="3">
        <f t="shared" si="16"/>
        <v>215.81854635361489</v>
      </c>
      <c r="O45" s="2" t="s">
        <v>29</v>
      </c>
      <c r="P45" s="2">
        <v>668.14585</v>
      </c>
      <c r="Q45" s="2">
        <v>23.770859000000002</v>
      </c>
      <c r="R45" s="2">
        <v>31.391914459999999</v>
      </c>
      <c r="S45" s="2">
        <v>15.04391616</v>
      </c>
      <c r="T45" s="2">
        <v>1366.460693</v>
      </c>
    </row>
    <row r="46" spans="2:20" x14ac:dyDescent="0.2">
      <c r="B46" s="5" t="s">
        <v>7</v>
      </c>
      <c r="C46" s="10">
        <f t="shared" si="9"/>
        <v>158.69584909662007</v>
      </c>
      <c r="D46" s="6">
        <v>308.34193260000001</v>
      </c>
      <c r="E46" s="8">
        <f t="shared" si="12"/>
        <v>1.9429741505858147</v>
      </c>
      <c r="F46" s="8">
        <f t="shared" si="13"/>
        <v>0.28846702276518754</v>
      </c>
      <c r="G46" s="8">
        <f t="shared" si="14"/>
        <v>2.4890325901122927</v>
      </c>
      <c r="H46" s="3">
        <f t="shared" si="10"/>
        <v>3.1971456674558261</v>
      </c>
      <c r="I46" s="3">
        <f t="shared" si="11"/>
        <v>1.7809195127687594</v>
      </c>
      <c r="J46" s="3">
        <f t="shared" si="15"/>
        <v>1574.5108853011886</v>
      </c>
      <c r="K46" s="3">
        <f t="shared" si="16"/>
        <v>60.383671073392563</v>
      </c>
      <c r="O46" s="2" t="s">
        <v>30</v>
      </c>
      <c r="P46" s="2">
        <v>580.26807499999995</v>
      </c>
      <c r="Q46" s="2">
        <v>36.687930999999999</v>
      </c>
      <c r="R46" s="2">
        <v>25.264981469999999</v>
      </c>
      <c r="S46" s="2">
        <v>8.3762697429999999</v>
      </c>
      <c r="T46" s="2">
        <v>1373.5780030000001</v>
      </c>
    </row>
    <row r="47" spans="2:20" x14ac:dyDescent="0.2">
      <c r="B47" s="5" t="s">
        <v>8</v>
      </c>
      <c r="C47" s="10">
        <f t="shared" si="9"/>
        <v>116.91361601466245</v>
      </c>
      <c r="D47" s="6">
        <v>453.70612870000002</v>
      </c>
      <c r="E47" s="8">
        <f t="shared" si="12"/>
        <v>3.8806953729247371</v>
      </c>
      <c r="F47" s="8">
        <f t="shared" si="13"/>
        <v>0.58890955280178969</v>
      </c>
      <c r="G47" s="8">
        <f t="shared" si="14"/>
        <v>2.6567746457915051</v>
      </c>
      <c r="H47" s="3">
        <f t="shared" si="10"/>
        <v>3.3648877231350385</v>
      </c>
      <c r="I47" s="3">
        <f t="shared" si="11"/>
        <v>1.9486615684479718</v>
      </c>
      <c r="J47" s="3">
        <f t="shared" si="15"/>
        <v>2316.7956182357143</v>
      </c>
      <c r="K47" s="3">
        <f t="shared" si="16"/>
        <v>88.850846229025308</v>
      </c>
      <c r="O47" s="2" t="s">
        <v>31</v>
      </c>
      <c r="P47" s="2">
        <v>551.89229999999998</v>
      </c>
      <c r="Q47" s="2">
        <v>31.383240000000001</v>
      </c>
      <c r="R47" s="2">
        <v>33.718055210000003</v>
      </c>
      <c r="S47" s="2">
        <v>4.6302980580000002</v>
      </c>
      <c r="T47" s="2">
        <v>1347.9685059999999</v>
      </c>
    </row>
    <row r="48" spans="2:20" x14ac:dyDescent="0.2">
      <c r="B48" s="5" t="s">
        <v>9</v>
      </c>
      <c r="C48" s="10">
        <f t="shared" si="9"/>
        <v>75.731878682263741</v>
      </c>
      <c r="D48" s="6">
        <v>24.811796470000001</v>
      </c>
      <c r="E48" s="8">
        <f t="shared" si="12"/>
        <v>0.32762684488653621</v>
      </c>
      <c r="F48" s="8">
        <f t="shared" si="13"/>
        <v>-0.48462052050001986</v>
      </c>
      <c r="G48" s="8">
        <f t="shared" si="14"/>
        <v>1.3946582100103222</v>
      </c>
      <c r="H48" s="3">
        <f t="shared" si="10"/>
        <v>2.1027712873538555</v>
      </c>
      <c r="I48" s="3">
        <f t="shared" si="11"/>
        <v>0.68654513266678896</v>
      </c>
      <c r="J48" s="3">
        <f t="shared" si="15"/>
        <v>126.6984457692038</v>
      </c>
      <c r="K48" s="3">
        <f t="shared" si="16"/>
        <v>4.8589802371383417</v>
      </c>
      <c r="O48" s="2" t="s">
        <v>32</v>
      </c>
      <c r="P48" s="2">
        <v>3817.7116999999998</v>
      </c>
      <c r="Q48" s="2">
        <v>36.533295000000003</v>
      </c>
      <c r="R48" s="2">
        <v>36.699292530000001</v>
      </c>
      <c r="S48" s="2">
        <v>2.5802377719999998</v>
      </c>
      <c r="T48" s="2">
        <v>1424.994263</v>
      </c>
    </row>
    <row r="49" spans="2:22" x14ac:dyDescent="0.2">
      <c r="B49" s="5" t="s">
        <v>10</v>
      </c>
      <c r="C49" s="10">
        <f t="shared" si="9"/>
        <v>158.27505483317307</v>
      </c>
      <c r="D49" s="6">
        <v>90.272551899999996</v>
      </c>
      <c r="E49" s="8">
        <f t="shared" si="12"/>
        <v>0.57035236534999234</v>
      </c>
      <c r="F49" s="8">
        <f t="shared" si="13"/>
        <v>-0.24385675301858364</v>
      </c>
      <c r="G49" s="8">
        <f t="shared" si="14"/>
        <v>1.9555557196329276</v>
      </c>
      <c r="H49" s="3">
        <f t="shared" si="10"/>
        <v>2.6636687969764608</v>
      </c>
      <c r="I49" s="3">
        <f t="shared" si="11"/>
        <v>1.2474426422893945</v>
      </c>
      <c r="J49" s="3">
        <f t="shared" si="15"/>
        <v>460.96589721662247</v>
      </c>
      <c r="K49" s="3">
        <f t="shared" si="16"/>
        <v>17.678387220711599</v>
      </c>
    </row>
    <row r="50" spans="2:22" ht="15.95" thickBot="1" x14ac:dyDescent="0.25">
      <c r="B50" s="5" t="s">
        <v>11</v>
      </c>
      <c r="C50" s="10">
        <f t="shared" si="9"/>
        <v>95.374734530216415</v>
      </c>
      <c r="D50" s="6">
        <v>74.676912610000002</v>
      </c>
      <c r="E50" s="8">
        <f t="shared" si="12"/>
        <v>0.78298422509727694</v>
      </c>
      <c r="F50" s="8">
        <f t="shared" si="13"/>
        <v>-0.10624698765114769</v>
      </c>
      <c r="G50" s="8">
        <f t="shared" si="14"/>
        <v>1.8731863544811462</v>
      </c>
      <c r="H50" s="3">
        <f t="shared" si="10"/>
        <v>2.5812994318246796</v>
      </c>
      <c r="I50" s="3">
        <f t="shared" si="11"/>
        <v>1.1650732771376129</v>
      </c>
      <c r="J50" s="3">
        <f t="shared" si="15"/>
        <v>381.32864639485183</v>
      </c>
      <c r="K50" s="3">
        <f t="shared" si="16"/>
        <v>14.624239038121404</v>
      </c>
    </row>
    <row r="51" spans="2:22" ht="18.95" x14ac:dyDescent="0.2">
      <c r="B51" s="5" t="s">
        <v>12</v>
      </c>
      <c r="C51" s="10">
        <f t="shared" si="9"/>
        <v>94.825309448660207</v>
      </c>
      <c r="D51" s="6">
        <v>38.428147240000001</v>
      </c>
      <c r="E51" s="8">
        <f t="shared" si="12"/>
        <v>0.40525200986352233</v>
      </c>
      <c r="F51" s="8">
        <f t="shared" si="13"/>
        <v>-0.39227482257328433</v>
      </c>
      <c r="G51" s="8">
        <f t="shared" si="14"/>
        <v>1.5846494460609826</v>
      </c>
      <c r="H51" s="3">
        <f t="shared" si="10"/>
        <v>2.2927625234045159</v>
      </c>
      <c r="I51" s="3">
        <f t="shared" si="11"/>
        <v>0.87653636871744933</v>
      </c>
      <c r="J51" s="3">
        <f t="shared" si="15"/>
        <v>196.22869851382919</v>
      </c>
      <c r="K51" s="3">
        <f t="shared" si="16"/>
        <v>7.5255174777355522</v>
      </c>
      <c r="O51" s="61" t="s">
        <v>69</v>
      </c>
      <c r="P51" s="62"/>
      <c r="Q51" s="62"/>
      <c r="R51" s="63"/>
    </row>
    <row r="52" spans="2:22" ht="15.95" thickBot="1" x14ac:dyDescent="0.25">
      <c r="B52" s="5" t="s">
        <v>13</v>
      </c>
      <c r="C52" s="10">
        <f t="shared" si="9"/>
        <v>86.485137932725209</v>
      </c>
      <c r="D52" s="6">
        <v>57.249858080000003</v>
      </c>
      <c r="E52" s="8">
        <f t="shared" si="12"/>
        <v>0.66196180579064745</v>
      </c>
      <c r="F52" s="8">
        <f t="shared" si="13"/>
        <v>-0.17916706798158596</v>
      </c>
      <c r="G52" s="8">
        <f t="shared" si="14"/>
        <v>1.7577744144154319</v>
      </c>
      <c r="H52" s="3">
        <f t="shared" si="10"/>
        <v>2.465887491758965</v>
      </c>
      <c r="I52" s="3">
        <f t="shared" si="11"/>
        <v>1.0496613370718988</v>
      </c>
      <c r="J52" s="3">
        <f t="shared" si="15"/>
        <v>292.33949456314764</v>
      </c>
      <c r="K52" s="3">
        <f t="shared" si="16"/>
        <v>11.211438451304323</v>
      </c>
      <c r="O52" s="95" t="s">
        <v>75</v>
      </c>
      <c r="P52" s="96"/>
      <c r="Q52" s="13" t="s">
        <v>76</v>
      </c>
      <c r="R52" s="14" t="s">
        <v>77</v>
      </c>
    </row>
    <row r="53" spans="2:22" ht="18" thickTop="1" x14ac:dyDescent="0.2">
      <c r="B53" s="5" t="s">
        <v>14</v>
      </c>
      <c r="C53" s="10">
        <f t="shared" si="9"/>
        <v>78.757838182238117</v>
      </c>
      <c r="D53" s="6">
        <v>47.853358710000002</v>
      </c>
      <c r="E53" s="8">
        <f t="shared" si="12"/>
        <v>0.6076012218526351</v>
      </c>
      <c r="F53" s="8">
        <f t="shared" si="13"/>
        <v>-0.21638136146605907</v>
      </c>
      <c r="G53" s="8">
        <f t="shared" si="14"/>
        <v>1.6799124252482418</v>
      </c>
      <c r="H53" s="3">
        <f t="shared" si="10"/>
        <v>2.3880255025917752</v>
      </c>
      <c r="I53" s="3">
        <f t="shared" si="11"/>
        <v>0.97179934790470857</v>
      </c>
      <c r="J53" s="3">
        <f t="shared" si="15"/>
        <v>244.35740397612528</v>
      </c>
      <c r="K53" s="3">
        <f t="shared" si="16"/>
        <v>9.3712893596286175</v>
      </c>
      <c r="O53" s="68" t="s">
        <v>70</v>
      </c>
      <c r="P53" s="69"/>
      <c r="Q53" s="15" t="s">
        <v>78</v>
      </c>
      <c r="R53" s="16">
        <f>GUI!F6</f>
        <v>1318</v>
      </c>
    </row>
    <row r="54" spans="2:22" x14ac:dyDescent="0.2">
      <c r="B54" s="5" t="s">
        <v>15</v>
      </c>
      <c r="C54" s="10">
        <f t="shared" si="9"/>
        <v>55.69101547049582</v>
      </c>
      <c r="D54" s="6">
        <v>63.531843979999998</v>
      </c>
      <c r="E54" s="8">
        <f t="shared" si="12"/>
        <v>1.1407916239857059</v>
      </c>
      <c r="F54" s="8">
        <f t="shared" si="13"/>
        <v>5.7206323806753702E-2</v>
      </c>
      <c r="G54" s="8">
        <f t="shared" si="14"/>
        <v>1.8029914606983466</v>
      </c>
      <c r="H54" s="3">
        <f t="shared" si="10"/>
        <v>2.5111045380418799</v>
      </c>
      <c r="I54" s="3">
        <f t="shared" si="11"/>
        <v>1.0948783833548132</v>
      </c>
      <c r="J54" s="3">
        <f t="shared" si="15"/>
        <v>324.41769780153066</v>
      </c>
      <c r="K54" s="3">
        <f t="shared" si="16"/>
        <v>12.441661558082915</v>
      </c>
      <c r="O54" s="66" t="s">
        <v>71</v>
      </c>
      <c r="P54" s="67"/>
      <c r="Q54" s="17" t="s">
        <v>79</v>
      </c>
      <c r="R54" s="18">
        <f>GUI!F7</f>
        <v>1123</v>
      </c>
    </row>
    <row r="55" spans="2:22" x14ac:dyDescent="0.2">
      <c r="B55" s="5" t="s">
        <v>16</v>
      </c>
      <c r="C55" s="10">
        <f t="shared" si="9"/>
        <v>46.853569791928059</v>
      </c>
      <c r="D55" s="6">
        <v>49.714662689999997</v>
      </c>
      <c r="E55" s="8">
        <f t="shared" si="12"/>
        <v>1.0610645658543791</v>
      </c>
      <c r="F55" s="8">
        <f t="shared" si="13"/>
        <v>2.5741811555556354E-2</v>
      </c>
      <c r="G55" s="8">
        <f t="shared" si="14"/>
        <v>1.6964844971075039</v>
      </c>
      <c r="H55" s="3">
        <f t="shared" si="10"/>
        <v>2.4045975744510373</v>
      </c>
      <c r="I55" s="3">
        <f t="shared" si="11"/>
        <v>0.98837141976397069</v>
      </c>
      <c r="J55" s="3">
        <f t="shared" si="15"/>
        <v>253.86192823156037</v>
      </c>
      <c r="K55" s="3">
        <f t="shared" si="16"/>
        <v>9.7357949795687944</v>
      </c>
      <c r="O55" s="66" t="s">
        <v>72</v>
      </c>
      <c r="P55" s="67"/>
      <c r="Q55" s="17" t="s">
        <v>80</v>
      </c>
      <c r="R55" s="18">
        <f>GUI!F8</f>
        <v>2.66</v>
      </c>
    </row>
    <row r="56" spans="2:22" x14ac:dyDescent="0.2">
      <c r="B56" s="5" t="s">
        <v>17</v>
      </c>
      <c r="C56" s="10">
        <f t="shared" si="9"/>
        <v>34.844637858043562</v>
      </c>
      <c r="D56" s="6">
        <v>19.595903580000002</v>
      </c>
      <c r="E56" s="8">
        <f t="shared" si="12"/>
        <v>0.5623793152861386</v>
      </c>
      <c r="F56" s="8">
        <f t="shared" si="13"/>
        <v>-0.24997066135646331</v>
      </c>
      <c r="G56" s="8">
        <f t="shared" si="14"/>
        <v>1.2921652938799777</v>
      </c>
      <c r="H56" s="3">
        <f t="shared" si="10"/>
        <v>2.0002783712235108</v>
      </c>
      <c r="I56" s="3">
        <f t="shared" si="11"/>
        <v>0.58405221653644446</v>
      </c>
      <c r="J56" s="3">
        <f t="shared" si="15"/>
        <v>100.06411788969415</v>
      </c>
      <c r="K56" s="3">
        <f t="shared" si="16"/>
        <v>3.8375338254613882</v>
      </c>
      <c r="O56" s="66" t="s">
        <v>73</v>
      </c>
      <c r="P56" s="67"/>
      <c r="Q56" s="17" t="s">
        <v>80</v>
      </c>
      <c r="R56" s="18">
        <f>GUI!F9</f>
        <v>32</v>
      </c>
    </row>
    <row r="57" spans="2:22" ht="15.95" thickBot="1" x14ac:dyDescent="0.25">
      <c r="B57" s="5" t="s">
        <v>18</v>
      </c>
      <c r="C57" s="10">
        <f t="shared" si="9"/>
        <v>44.008730299769304</v>
      </c>
      <c r="D57" s="6">
        <v>46.052385209999997</v>
      </c>
      <c r="E57" s="8">
        <f t="shared" si="12"/>
        <v>1.0464374885689762</v>
      </c>
      <c r="F57" s="8">
        <f t="shared" si="13"/>
        <v>1.9713289836272841E-2</v>
      </c>
      <c r="G57" s="8">
        <f t="shared" si="14"/>
        <v>1.6632521287069122</v>
      </c>
      <c r="H57" s="3">
        <f t="shared" si="10"/>
        <v>2.3713652060504455</v>
      </c>
      <c r="I57" s="3">
        <f t="shared" si="11"/>
        <v>0.95513905136337895</v>
      </c>
      <c r="J57" s="3">
        <f t="shared" si="15"/>
        <v>235.16095003949016</v>
      </c>
      <c r="K57" s="3">
        <f t="shared" si="16"/>
        <v>9.0185984670247468</v>
      </c>
      <c r="O57" s="64" t="s">
        <v>74</v>
      </c>
      <c r="P57" s="65"/>
      <c r="Q57" s="19" t="s">
        <v>80</v>
      </c>
      <c r="R57" s="20">
        <f>GUI!F10</f>
        <v>36</v>
      </c>
    </row>
    <row r="58" spans="2:22" x14ac:dyDescent="0.2">
      <c r="B58" s="5" t="s">
        <v>19</v>
      </c>
      <c r="C58" s="10">
        <f t="shared" si="9"/>
        <v>36.46845167698946</v>
      </c>
      <c r="D58" s="6">
        <v>58.0373886</v>
      </c>
      <c r="E58" s="8">
        <f t="shared" si="12"/>
        <v>1.5914409834026466</v>
      </c>
      <c r="F58" s="8">
        <f t="shared" si="13"/>
        <v>0.2017905379882475</v>
      </c>
      <c r="G58" s="8">
        <f t="shared" si="14"/>
        <v>1.7637078630674812</v>
      </c>
      <c r="H58" s="3">
        <f t="shared" si="10"/>
        <v>2.4718209404110145</v>
      </c>
      <c r="I58" s="3">
        <f t="shared" si="11"/>
        <v>1.0555947857239478</v>
      </c>
      <c r="J58" s="3">
        <f t="shared" si="15"/>
        <v>296.36092416823328</v>
      </c>
      <c r="K58" s="3">
        <f t="shared" si="16"/>
        <v>11.365663286956583</v>
      </c>
      <c r="O58" s="2"/>
      <c r="P58" s="2"/>
      <c r="Q58" s="2"/>
      <c r="R58" s="2"/>
    </row>
    <row r="59" spans="2:22" ht="15.95" thickBot="1" x14ac:dyDescent="0.25">
      <c r="B59" s="5" t="s">
        <v>20</v>
      </c>
      <c r="C59" s="10">
        <f t="shared" si="9"/>
        <v>68.476661592584605</v>
      </c>
      <c r="D59" s="6">
        <v>99.185768229999994</v>
      </c>
      <c r="E59" s="8">
        <f t="shared" si="12"/>
        <v>1.4484609197236464</v>
      </c>
      <c r="F59" s="8">
        <f t="shared" si="13"/>
        <v>0.16090678219264135</v>
      </c>
      <c r="G59" s="8">
        <f t="shared" si="14"/>
        <v>1.9964493614426344</v>
      </c>
      <c r="H59" s="3">
        <f t="shared" si="10"/>
        <v>2.7045624387861675</v>
      </c>
      <c r="I59" s="3">
        <f t="shared" si="11"/>
        <v>1.2883362840991013</v>
      </c>
      <c r="J59" s="3">
        <f t="shared" si="15"/>
        <v>506.48016125554904</v>
      </c>
      <c r="K59" s="3">
        <f t="shared" si="16"/>
        <v>19.423893316941832</v>
      </c>
      <c r="O59" s="2"/>
      <c r="P59" s="2"/>
      <c r="Q59" s="2"/>
      <c r="R59" s="2"/>
    </row>
    <row r="60" spans="2:22" ht="18.95" x14ac:dyDescent="0.25">
      <c r="B60" s="5" t="s">
        <v>21</v>
      </c>
      <c r="C60" s="10">
        <f t="shared" si="9"/>
        <v>109.27178718461867</v>
      </c>
      <c r="D60" s="6">
        <v>33.745095970000001</v>
      </c>
      <c r="E60" s="8">
        <f t="shared" si="12"/>
        <v>0.30881801093805145</v>
      </c>
      <c r="F60" s="8">
        <f t="shared" si="13"/>
        <v>-0.51029737859891255</v>
      </c>
      <c r="G60" s="8">
        <f t="shared" si="14"/>
        <v>1.5282106675991196</v>
      </c>
      <c r="H60" s="3">
        <f t="shared" si="10"/>
        <v>2.236323744942653</v>
      </c>
      <c r="I60" s="3">
        <f t="shared" si="11"/>
        <v>0.82009759025558637</v>
      </c>
      <c r="J60" s="3">
        <f t="shared" si="15"/>
        <v>172.31526209321768</v>
      </c>
      <c r="K60" s="3">
        <f t="shared" si="16"/>
        <v>6.6084192902686132</v>
      </c>
      <c r="O60" s="98" t="s">
        <v>81</v>
      </c>
      <c r="P60" s="99"/>
      <c r="Q60" s="99"/>
      <c r="R60" s="99"/>
      <c r="S60" s="99"/>
      <c r="T60" s="99"/>
      <c r="U60" s="99"/>
      <c r="V60" s="100"/>
    </row>
    <row r="61" spans="2:22" ht="15.95" thickBot="1" x14ac:dyDescent="0.25">
      <c r="B61" s="5" t="s">
        <v>22</v>
      </c>
      <c r="C61" s="10">
        <f t="shared" si="9"/>
        <v>75.549385251940677</v>
      </c>
      <c r="D61" s="6">
        <v>150.38375049999999</v>
      </c>
      <c r="E61" s="8">
        <f t="shared" si="12"/>
        <v>1.9905357270413659</v>
      </c>
      <c r="F61" s="8">
        <f t="shared" si="13"/>
        <v>0.29896997690513283</v>
      </c>
      <c r="G61" s="8">
        <f t="shared" si="14"/>
        <v>2.1772009117247682</v>
      </c>
      <c r="H61" s="3">
        <f t="shared" si="10"/>
        <v>2.8853139890683015</v>
      </c>
      <c r="I61" s="3">
        <f t="shared" si="11"/>
        <v>1.4690878343812348</v>
      </c>
      <c r="J61" s="3">
        <f t="shared" si="15"/>
        <v>767.91648199803774</v>
      </c>
      <c r="K61" s="3">
        <f t="shared" si="16"/>
        <v>29.450171919221894</v>
      </c>
      <c r="O61" s="114" t="s">
        <v>89</v>
      </c>
      <c r="P61" s="112"/>
      <c r="Q61" s="25" t="s">
        <v>56</v>
      </c>
      <c r="R61" s="112" t="s">
        <v>86</v>
      </c>
      <c r="S61" s="112"/>
      <c r="T61" s="25" t="s">
        <v>87</v>
      </c>
      <c r="U61" s="112" t="s">
        <v>88</v>
      </c>
      <c r="V61" s="113"/>
    </row>
    <row r="62" spans="2:22" ht="15.95" thickTop="1" x14ac:dyDescent="0.2">
      <c r="B62" s="5" t="s">
        <v>23</v>
      </c>
      <c r="C62" s="10">
        <f t="shared" si="9"/>
        <v>121.27089932428238</v>
      </c>
      <c r="D62" s="6">
        <v>126.3670217</v>
      </c>
      <c r="E62" s="8">
        <f t="shared" si="12"/>
        <v>1.0420226320091057</v>
      </c>
      <c r="F62" s="8">
        <f t="shared" si="13"/>
        <v>1.7877151640980873E-2</v>
      </c>
      <c r="G62" s="8">
        <f t="shared" si="14"/>
        <v>2.101633749876656</v>
      </c>
      <c r="H62" s="3">
        <f t="shared" si="10"/>
        <v>2.8097468272201893</v>
      </c>
      <c r="I62" s="3">
        <f t="shared" si="11"/>
        <v>1.3935206725331226</v>
      </c>
      <c r="J62" s="3">
        <f t="shared" si="15"/>
        <v>645.2779533812311</v>
      </c>
      <c r="K62" s="3">
        <f t="shared" si="16"/>
        <v>24.746892543985631</v>
      </c>
      <c r="O62" s="108" t="s">
        <v>34</v>
      </c>
      <c r="P62" s="109"/>
      <c r="Q62" s="26">
        <f>S11*(R53^T11)</f>
        <v>90.121004767413012</v>
      </c>
      <c r="R62" s="26">
        <f>K36</f>
        <v>16.016846952453079</v>
      </c>
      <c r="S62" s="26">
        <f>J36</f>
        <v>507.07829851893433</v>
      </c>
      <c r="T62" s="26">
        <f>Q62*$R$53</f>
        <v>118779.48428345035</v>
      </c>
      <c r="U62" s="26">
        <f t="shared" ref="U62:V66" si="17">R62*$R$53</f>
        <v>21110.204283333158</v>
      </c>
      <c r="V62" s="22">
        <f t="shared" si="17"/>
        <v>668329.19744795549</v>
      </c>
    </row>
    <row r="63" spans="2:22" x14ac:dyDescent="0.2">
      <c r="B63" s="5" t="s">
        <v>24</v>
      </c>
      <c r="C63" s="10">
        <f t="shared" si="9"/>
        <v>78.614633170168631</v>
      </c>
      <c r="D63" s="6">
        <v>127.6473065</v>
      </c>
      <c r="E63" s="8">
        <f t="shared" si="12"/>
        <v>1.6237092428288207</v>
      </c>
      <c r="F63" s="8">
        <f t="shared" si="13"/>
        <v>0.2105082628729591</v>
      </c>
      <c r="G63" s="8">
        <f t="shared" si="14"/>
        <v>2.1060116551408279</v>
      </c>
      <c r="H63" s="3">
        <f t="shared" si="10"/>
        <v>2.8141247324843612</v>
      </c>
      <c r="I63" s="3">
        <f t="shared" si="11"/>
        <v>1.3978985777972945</v>
      </c>
      <c r="J63" s="3">
        <f t="shared" si="15"/>
        <v>651.81557327901101</v>
      </c>
      <c r="K63" s="3">
        <f t="shared" si="16"/>
        <v>24.99761516089206</v>
      </c>
      <c r="O63" s="88" t="s">
        <v>35</v>
      </c>
      <c r="P63" s="74"/>
      <c r="Q63" s="27">
        <f>S12*(R53^T12)*(R54^U12)</f>
        <v>56.391448353333615</v>
      </c>
      <c r="R63" s="27">
        <f>K74</f>
        <v>11.043333094552647</v>
      </c>
      <c r="S63" s="27">
        <f>J74</f>
        <v>287.95612883897286</v>
      </c>
      <c r="T63" s="27">
        <f t="shared" ref="T63:T66" si="18">Q63*$R$53</f>
        <v>74323.928929693706</v>
      </c>
      <c r="U63" s="27">
        <f t="shared" si="17"/>
        <v>14555.113018620388</v>
      </c>
      <c r="V63" s="23">
        <f t="shared" si="17"/>
        <v>379526.1778097662</v>
      </c>
    </row>
    <row r="64" spans="2:22" x14ac:dyDescent="0.2">
      <c r="B64" s="5" t="s">
        <v>25</v>
      </c>
      <c r="C64" s="10">
        <f t="shared" si="9"/>
        <v>90.839354725065974</v>
      </c>
      <c r="D64" s="6">
        <v>151.52672749999999</v>
      </c>
      <c r="E64" s="8">
        <f t="shared" si="12"/>
        <v>1.6680735784463703</v>
      </c>
      <c r="F64" s="8">
        <f t="shared" si="13"/>
        <v>0.22221520338114242</v>
      </c>
      <c r="G64" s="8">
        <f t="shared" si="14"/>
        <v>2.1804892439405257</v>
      </c>
      <c r="H64" s="3">
        <f t="shared" si="10"/>
        <v>2.888602321284059</v>
      </c>
      <c r="I64" s="3">
        <f t="shared" si="11"/>
        <v>1.4723761665969923</v>
      </c>
      <c r="J64" s="3">
        <f t="shared" si="15"/>
        <v>773.75295617777067</v>
      </c>
      <c r="K64" s="3">
        <f t="shared" si="16"/>
        <v>29.674005072988852</v>
      </c>
      <c r="O64" s="88" t="s">
        <v>36</v>
      </c>
      <c r="P64" s="74"/>
      <c r="Q64" s="27">
        <f>S13*(R53^T13)*(R54^U13)*(R55^V13)</f>
        <v>45.331593205312721</v>
      </c>
      <c r="R64" s="27">
        <f>K113</f>
        <v>10.280318254622772</v>
      </c>
      <c r="S64" s="27">
        <f>J113</f>
        <v>199.89199669065698</v>
      </c>
      <c r="T64" s="27">
        <f t="shared" si="18"/>
        <v>59747.039844602165</v>
      </c>
      <c r="U64" s="27">
        <f t="shared" si="17"/>
        <v>13549.459459592814</v>
      </c>
      <c r="V64" s="23">
        <f t="shared" si="17"/>
        <v>263457.6516382859</v>
      </c>
    </row>
    <row r="65" spans="2:22" x14ac:dyDescent="0.2">
      <c r="B65" s="5" t="s">
        <v>26</v>
      </c>
      <c r="C65" s="10">
        <f t="shared" si="9"/>
        <v>127.31644291024999</v>
      </c>
      <c r="D65" s="6">
        <v>59.765026890000001</v>
      </c>
      <c r="E65" s="8">
        <f t="shared" si="12"/>
        <v>0.46942111736604636</v>
      </c>
      <c r="F65" s="8">
        <f t="shared" si="13"/>
        <v>-0.32843737713781718</v>
      </c>
      <c r="G65" s="8">
        <f t="shared" si="14"/>
        <v>1.7764471192419506</v>
      </c>
      <c r="H65" s="3">
        <f t="shared" si="10"/>
        <v>2.484560196585484</v>
      </c>
      <c r="I65" s="3">
        <f t="shared" si="11"/>
        <v>1.0683340418984173</v>
      </c>
      <c r="J65" s="3">
        <f t="shared" si="15"/>
        <v>305.18290070100966</v>
      </c>
      <c r="K65" s="3">
        <f t="shared" si="16"/>
        <v>11.703992690802187</v>
      </c>
      <c r="O65" s="88" t="s">
        <v>37</v>
      </c>
      <c r="P65" s="74"/>
      <c r="Q65" s="27">
        <f>S14*(R53^T14)*(R54^U14)*(R55^V14)*(R56^W14)</f>
        <v>24.327662236612944</v>
      </c>
      <c r="R65" s="27">
        <f>K152</f>
        <v>7.5021396500659492</v>
      </c>
      <c r="S65" s="27">
        <f>J152</f>
        <v>78.888847382829141</v>
      </c>
      <c r="T65" s="27">
        <f t="shared" si="18"/>
        <v>32063.85882785586</v>
      </c>
      <c r="U65" s="27">
        <f t="shared" si="17"/>
        <v>9887.8200587869214</v>
      </c>
      <c r="V65" s="23">
        <f t="shared" si="17"/>
        <v>103975.5008505688</v>
      </c>
    </row>
    <row r="66" spans="2:22" ht="15.95" thickBot="1" x14ac:dyDescent="0.25">
      <c r="B66" s="5" t="s">
        <v>27</v>
      </c>
      <c r="C66" s="10">
        <f t="shared" si="9"/>
        <v>115.49587870137911</v>
      </c>
      <c r="D66" s="6">
        <v>97.497305679999997</v>
      </c>
      <c r="E66" s="8">
        <f t="shared" si="12"/>
        <v>0.84416263832309202</v>
      </c>
      <c r="F66" s="8">
        <f t="shared" si="13"/>
        <v>-7.3573873135391724E-2</v>
      </c>
      <c r="G66" s="8">
        <f t="shared" si="14"/>
        <v>1.9889926142167269</v>
      </c>
      <c r="H66" s="3">
        <f t="shared" si="10"/>
        <v>2.6971056915602603</v>
      </c>
      <c r="I66" s="3">
        <f t="shared" si="11"/>
        <v>1.2808795368731936</v>
      </c>
      <c r="J66" s="3">
        <f t="shared" si="15"/>
        <v>497.85823091353791</v>
      </c>
      <c r="K66" s="3">
        <f t="shared" si="16"/>
        <v>19.093235834259431</v>
      </c>
      <c r="O66" s="70" t="s">
        <v>54</v>
      </c>
      <c r="P66" s="71"/>
      <c r="Q66" s="28">
        <f>S15*(R53^T15)*(R54^U15)*(R55^V15)*(R56^W15)*(R57^X15)</f>
        <v>25.839848547252238</v>
      </c>
      <c r="R66" s="28">
        <f>K190</f>
        <v>8.0708945462305781</v>
      </c>
      <c r="S66" s="28">
        <f>J190</f>
        <v>82.729091443373477</v>
      </c>
      <c r="T66" s="28">
        <f t="shared" si="18"/>
        <v>34056.920385278449</v>
      </c>
      <c r="U66" s="28">
        <f t="shared" si="17"/>
        <v>10637.439011931901</v>
      </c>
      <c r="V66" s="24">
        <f t="shared" si="17"/>
        <v>109036.94252236624</v>
      </c>
    </row>
    <row r="67" spans="2:22" x14ac:dyDescent="0.2">
      <c r="B67" s="5" t="s">
        <v>28</v>
      </c>
      <c r="C67" s="10">
        <f t="shared" si="9"/>
        <v>95.451562023592601</v>
      </c>
      <c r="D67" s="6">
        <v>124.82689329999999</v>
      </c>
      <c r="E67" s="8">
        <f t="shared" si="12"/>
        <v>1.3077511845133214</v>
      </c>
      <c r="F67" s="8">
        <f t="shared" si="13"/>
        <v>0.11652512206775215</v>
      </c>
      <c r="G67" s="8">
        <f t="shared" si="14"/>
        <v>2.0963081618972401</v>
      </c>
      <c r="H67" s="3">
        <f t="shared" si="10"/>
        <v>2.8044212392407735</v>
      </c>
      <c r="I67" s="3">
        <f t="shared" si="11"/>
        <v>1.3881950845537068</v>
      </c>
      <c r="J67" s="3">
        <f t="shared" si="15"/>
        <v>637.41347348349541</v>
      </c>
      <c r="K67" s="3">
        <f t="shared" si="16"/>
        <v>24.44528385284131</v>
      </c>
    </row>
    <row r="68" spans="2:22" x14ac:dyDescent="0.2">
      <c r="B68" s="5" t="s">
        <v>29</v>
      </c>
      <c r="C68" s="10">
        <f t="shared" si="9"/>
        <v>124.4415258135771</v>
      </c>
      <c r="D68" s="6">
        <v>163.69585509999999</v>
      </c>
      <c r="E68" s="8">
        <f t="shared" si="12"/>
        <v>1.3154439728200447</v>
      </c>
      <c r="F68" s="8">
        <f t="shared" si="13"/>
        <v>0.11907235541430065</v>
      </c>
      <c r="G68" s="8">
        <f t="shared" si="14"/>
        <v>2.2140376828939949</v>
      </c>
      <c r="H68" s="3">
        <f t="shared" si="10"/>
        <v>2.9221507602375283</v>
      </c>
      <c r="I68" s="3">
        <f t="shared" si="11"/>
        <v>1.5059246055504616</v>
      </c>
      <c r="J68" s="3">
        <f t="shared" si="15"/>
        <v>835.89313837503096</v>
      </c>
      <c r="K68" s="3">
        <f t="shared" si="16"/>
        <v>32.057127576154159</v>
      </c>
    </row>
    <row r="69" spans="2:22" x14ac:dyDescent="0.2">
      <c r="B69" s="5" t="s">
        <v>30</v>
      </c>
      <c r="C69" s="10">
        <f t="shared" si="9"/>
        <v>129.51223588139604</v>
      </c>
      <c r="D69" s="6">
        <v>45.773785269999998</v>
      </c>
      <c r="E69" s="8">
        <f t="shared" si="12"/>
        <v>0.35343212908406929</v>
      </c>
      <c r="F69" s="8">
        <f t="shared" si="13"/>
        <v>-0.45169397308145248</v>
      </c>
      <c r="G69" s="8">
        <f t="shared" si="14"/>
        <v>1.6606168279592954</v>
      </c>
      <c r="H69" s="3">
        <f t="shared" si="10"/>
        <v>2.3687299053028288</v>
      </c>
      <c r="I69" s="3">
        <f t="shared" si="11"/>
        <v>0.9525037506157622</v>
      </c>
      <c r="J69" s="3">
        <f t="shared" si="15"/>
        <v>233.73831305179459</v>
      </c>
      <c r="K69" s="3">
        <f t="shared" si="16"/>
        <v>8.9640392736118581</v>
      </c>
    </row>
    <row r="70" spans="2:22" x14ac:dyDescent="0.2">
      <c r="B70" s="5" t="s">
        <v>31</v>
      </c>
      <c r="C70" s="10">
        <f t="shared" si="9"/>
        <v>122.19862387697407</v>
      </c>
      <c r="D70" s="6">
        <v>40.368555899999997</v>
      </c>
      <c r="E70" s="8">
        <f t="shared" si="12"/>
        <v>0.33035196812561374</v>
      </c>
      <c r="F70" s="8">
        <f t="shared" si="13"/>
        <v>-0.48102310146790006</v>
      </c>
      <c r="G70" s="8">
        <f t="shared" si="14"/>
        <v>1.6060432137184906</v>
      </c>
      <c r="H70" s="3">
        <f t="shared" si="10"/>
        <v>2.3141562910620239</v>
      </c>
      <c r="I70" s="3">
        <f t="shared" si="11"/>
        <v>0.89793013637495733</v>
      </c>
      <c r="J70" s="3">
        <f t="shared" si="15"/>
        <v>206.13716127573994</v>
      </c>
      <c r="K70" s="3">
        <f t="shared" si="16"/>
        <v>7.9055144417728807</v>
      </c>
    </row>
    <row r="71" spans="2:22" x14ac:dyDescent="0.2">
      <c r="B71" s="5" t="s">
        <v>32</v>
      </c>
      <c r="C71" s="10">
        <f t="shared" si="9"/>
        <v>110.13347928571896</v>
      </c>
      <c r="D71" s="6">
        <v>45.179256979999998</v>
      </c>
      <c r="E71" s="8">
        <f t="shared" si="12"/>
        <v>0.41022273402251813</v>
      </c>
      <c r="F71" s="8">
        <f t="shared" si="13"/>
        <v>-0.38698027525252754</v>
      </c>
      <c r="G71" s="8">
        <f t="shared" si="14"/>
        <v>1.6549390842173806</v>
      </c>
      <c r="H71" s="3">
        <f t="shared" si="10"/>
        <v>2.3630521615609137</v>
      </c>
      <c r="I71" s="3">
        <f t="shared" si="11"/>
        <v>0.94682600687384733</v>
      </c>
      <c r="J71" s="3">
        <f t="shared" si="15"/>
        <v>230.70242605345092</v>
      </c>
      <c r="K71" s="3">
        <f t="shared" si="16"/>
        <v>8.8476107346698019</v>
      </c>
    </row>
    <row r="72" spans="2:22" s="2" customFormat="1" x14ac:dyDescent="0.25">
      <c r="B72" s="111" t="s">
        <v>82</v>
      </c>
      <c r="C72" s="10">
        <v>10</v>
      </c>
      <c r="D72" s="6">
        <v>10</v>
      </c>
      <c r="E72" s="8"/>
      <c r="F72" s="8"/>
      <c r="G72" s="8">
        <f t="shared" si="14"/>
        <v>1</v>
      </c>
      <c r="H72" s="3">
        <f t="shared" si="10"/>
        <v>1.7081130773435333</v>
      </c>
      <c r="I72" s="3">
        <f t="shared" si="11"/>
        <v>0.29188692265646676</v>
      </c>
      <c r="J72" s="3">
        <f t="shared" si="15"/>
        <v>51.063793757294093</v>
      </c>
      <c r="K72" s="3">
        <f t="shared" si="16"/>
        <v>1.9583347151075272</v>
      </c>
    </row>
    <row r="73" spans="2:22" s="2" customFormat="1" x14ac:dyDescent="0.25">
      <c r="B73" s="111"/>
      <c r="C73" s="10">
        <v>1200</v>
      </c>
      <c r="D73" s="6">
        <v>1200</v>
      </c>
      <c r="E73" s="8"/>
      <c r="F73" s="8"/>
      <c r="G73" s="8">
        <f t="shared" si="14"/>
        <v>3.0791812460476247</v>
      </c>
      <c r="H73" s="3">
        <f t="shared" si="10"/>
        <v>3.787294323391158</v>
      </c>
      <c r="I73" s="3">
        <f t="shared" si="11"/>
        <v>2.3710681687040913</v>
      </c>
      <c r="J73" s="3">
        <f t="shared" si="15"/>
        <v>6127.6552508752957</v>
      </c>
      <c r="K73" s="3">
        <f t="shared" si="16"/>
        <v>235.00016581290319</v>
      </c>
    </row>
    <row r="74" spans="2:22" s="2" customFormat="1" x14ac:dyDescent="0.2">
      <c r="B74" s="12" t="s">
        <v>83</v>
      </c>
      <c r="C74" s="6">
        <f>Q63</f>
        <v>56.391448353333615</v>
      </c>
      <c r="D74" s="6"/>
      <c r="E74" s="8"/>
      <c r="F74" s="8"/>
      <c r="G74" s="8">
        <f>LOG(C74)</f>
        <v>1.7512132491154471</v>
      </c>
      <c r="H74" s="3">
        <f t="shared" si="10"/>
        <v>2.4593263264589802</v>
      </c>
      <c r="I74" s="3">
        <f t="shared" si="11"/>
        <v>1.0431001717719139</v>
      </c>
      <c r="J74" s="3">
        <f t="shared" si="15"/>
        <v>287.95612883897286</v>
      </c>
      <c r="K74" s="3">
        <f t="shared" si="16"/>
        <v>11.043333094552647</v>
      </c>
    </row>
    <row r="75" spans="2:22" x14ac:dyDescent="0.25">
      <c r="F75" s="5" t="s">
        <v>62</v>
      </c>
      <c r="G75" s="9">
        <f>AVERAGE(F43:F71)</f>
        <v>4.7900042018608085E-4</v>
      </c>
      <c r="H75" s="5" t="s">
        <v>63</v>
      </c>
      <c r="I75" s="9">
        <f>STDEV(F43:F71)</f>
        <v>0.3612821823181292</v>
      </c>
      <c r="J75" s="2" t="s">
        <v>84</v>
      </c>
      <c r="K75" s="9">
        <f>1.96*I75</f>
        <v>0.70811307734353324</v>
      </c>
    </row>
    <row r="76" spans="2:22" x14ac:dyDescent="0.25">
      <c r="H76" s="3"/>
      <c r="I76" s="2"/>
      <c r="J76" s="2"/>
      <c r="K76" s="2"/>
    </row>
    <row r="79" spans="2:22" x14ac:dyDescent="0.25">
      <c r="B79" s="110" t="s">
        <v>36</v>
      </c>
      <c r="C79" s="110"/>
      <c r="D79" s="110"/>
      <c r="E79" s="110"/>
      <c r="H79" s="2"/>
      <c r="I79" s="2"/>
      <c r="J79" s="2"/>
      <c r="K79" s="2"/>
    </row>
    <row r="80" spans="2:22" x14ac:dyDescent="0.25">
      <c r="B80" s="111" t="s">
        <v>33</v>
      </c>
      <c r="C80" s="51" t="s">
        <v>105</v>
      </c>
      <c r="D80" s="5" t="s">
        <v>58</v>
      </c>
      <c r="E80" s="5" t="s">
        <v>60</v>
      </c>
      <c r="F80" s="5" t="s">
        <v>59</v>
      </c>
      <c r="G80" s="5" t="s">
        <v>66</v>
      </c>
      <c r="H80" s="5" t="s">
        <v>64</v>
      </c>
      <c r="I80" s="5" t="s">
        <v>65</v>
      </c>
      <c r="J80" s="5" t="s">
        <v>64</v>
      </c>
      <c r="K80" s="5" t="s">
        <v>65</v>
      </c>
    </row>
    <row r="81" spans="2:11" x14ac:dyDescent="0.25">
      <c r="B81" s="111"/>
      <c r="C81" s="5" t="s">
        <v>57</v>
      </c>
      <c r="D81" s="5" t="s">
        <v>57</v>
      </c>
      <c r="E81" s="5" t="s">
        <v>61</v>
      </c>
      <c r="F81" s="5"/>
      <c r="G81" s="5"/>
      <c r="H81" s="110" t="s">
        <v>67</v>
      </c>
      <c r="I81" s="110"/>
      <c r="J81" s="2"/>
      <c r="K81" s="2"/>
    </row>
    <row r="82" spans="2:11" x14ac:dyDescent="0.25">
      <c r="B82" s="5" t="s">
        <v>4</v>
      </c>
      <c r="C82" s="21">
        <f t="shared" ref="C82:C110" si="19">$S$13*(P20^$T$13)*(T20^$U$13)*(S20^$V$13)</f>
        <v>61.545899636536483</v>
      </c>
      <c r="D82" s="6">
        <v>133.3445475</v>
      </c>
      <c r="E82" s="8">
        <f>D82/C82</f>
        <v>2.1665870234650129</v>
      </c>
      <c r="F82" s="8">
        <f>LOG(E82)</f>
        <v>0.33577613765916586</v>
      </c>
      <c r="G82" s="8">
        <f>LOG(D82)</f>
        <v>2.124975261952585</v>
      </c>
      <c r="H82" s="3">
        <f t="shared" ref="H82:H113" si="20">G82+$K$114</f>
        <v>2.7693696852032965</v>
      </c>
      <c r="I82" s="3">
        <f t="shared" ref="I82:I113" si="21">G82-$K$114</f>
        <v>1.4805808387018735</v>
      </c>
      <c r="J82" s="7">
        <f>10^H82</f>
        <v>587.98965496018172</v>
      </c>
      <c r="K82" s="7">
        <f>10^I82</f>
        <v>30.239933981804267</v>
      </c>
    </row>
    <row r="83" spans="2:11" x14ac:dyDescent="0.25">
      <c r="B83" s="5" t="s">
        <v>5</v>
      </c>
      <c r="C83" s="21">
        <f t="shared" si="19"/>
        <v>209.97735584453056</v>
      </c>
      <c r="D83" s="6">
        <v>530.07671349999998</v>
      </c>
      <c r="E83" s="8">
        <f t="shared" ref="E83:E110" si="22">D83/C83</f>
        <v>2.5244470355768951</v>
      </c>
      <c r="F83" s="8">
        <f t="shared" ref="F83:F110" si="23">LOG(E83)</f>
        <v>0.40216626336662509</v>
      </c>
      <c r="G83" s="8">
        <f t="shared" ref="G83:G112" si="24">LOG(D83)</f>
        <v>2.7243387259004725</v>
      </c>
      <c r="H83" s="3">
        <f t="shared" si="20"/>
        <v>3.368733149151184</v>
      </c>
      <c r="I83" s="3">
        <f t="shared" si="21"/>
        <v>2.079944302649761</v>
      </c>
      <c r="J83" s="7">
        <f t="shared" ref="J83:J113" si="25">10^H83</f>
        <v>2337.4005890513986</v>
      </c>
      <c r="K83" s="7">
        <f t="shared" ref="K83:K113" si="26">10^I83</f>
        <v>120.21102566291124</v>
      </c>
    </row>
    <row r="84" spans="2:11" x14ac:dyDescent="0.25">
      <c r="B84" s="5" t="s">
        <v>6</v>
      </c>
      <c r="C84" s="21">
        <f t="shared" si="19"/>
        <v>92.902763848525879</v>
      </c>
      <c r="D84" s="6">
        <v>1102.0513739999999</v>
      </c>
      <c r="E84" s="8">
        <f t="shared" si="22"/>
        <v>11.862417525024865</v>
      </c>
      <c r="F84" s="8">
        <f t="shared" si="23"/>
        <v>1.0741732059579108</v>
      </c>
      <c r="G84" s="8">
        <f t="shared" si="24"/>
        <v>3.0422018403639171</v>
      </c>
      <c r="H84" s="3">
        <f t="shared" si="20"/>
        <v>3.6865962636146286</v>
      </c>
      <c r="I84" s="3">
        <f t="shared" si="21"/>
        <v>2.3978074171132056</v>
      </c>
      <c r="J84" s="7">
        <f t="shared" si="25"/>
        <v>4859.5523348763381</v>
      </c>
      <c r="K84" s="7">
        <f t="shared" si="26"/>
        <v>249.92368581337539</v>
      </c>
    </row>
    <row r="85" spans="2:11" x14ac:dyDescent="0.25">
      <c r="B85" s="5" t="s">
        <v>7</v>
      </c>
      <c r="C85" s="21">
        <f t="shared" si="19"/>
        <v>197.9121294282408</v>
      </c>
      <c r="D85" s="6">
        <v>308.34193260000001</v>
      </c>
      <c r="E85" s="8">
        <f t="shared" si="22"/>
        <v>1.5579739023110202</v>
      </c>
      <c r="F85" s="8">
        <f t="shared" si="23"/>
        <v>0.19256017851161453</v>
      </c>
      <c r="G85" s="8">
        <f t="shared" si="24"/>
        <v>2.4890325901122927</v>
      </c>
      <c r="H85" s="3">
        <f t="shared" si="20"/>
        <v>3.1334270133630042</v>
      </c>
      <c r="I85" s="3">
        <f t="shared" si="21"/>
        <v>1.8446381668615812</v>
      </c>
      <c r="J85" s="7">
        <f t="shared" si="25"/>
        <v>1359.6496441613376</v>
      </c>
      <c r="K85" s="7">
        <f t="shared" si="26"/>
        <v>69.92591643573536</v>
      </c>
    </row>
    <row r="86" spans="2:11" x14ac:dyDescent="0.25">
      <c r="B86" s="5" t="s">
        <v>8</v>
      </c>
      <c r="C86" s="21">
        <f t="shared" si="19"/>
        <v>140.68650023825654</v>
      </c>
      <c r="D86" s="6">
        <v>453.70612870000002</v>
      </c>
      <c r="E86" s="8">
        <f t="shared" si="22"/>
        <v>3.224944311868132</v>
      </c>
      <c r="F86" s="8">
        <f t="shared" si="23"/>
        <v>0.50852221966673172</v>
      </c>
      <c r="G86" s="8">
        <f t="shared" si="24"/>
        <v>2.6567746457915051</v>
      </c>
      <c r="H86" s="3">
        <f t="shared" si="20"/>
        <v>3.3011690690422166</v>
      </c>
      <c r="I86" s="3">
        <f t="shared" si="21"/>
        <v>2.0123802225407936</v>
      </c>
      <c r="J86" s="7">
        <f t="shared" si="25"/>
        <v>2000.6405591322189</v>
      </c>
      <c r="K86" s="7">
        <f t="shared" si="26"/>
        <v>102.89167151006301</v>
      </c>
    </row>
    <row r="87" spans="2:11" x14ac:dyDescent="0.25">
      <c r="B87" s="5" t="s">
        <v>9</v>
      </c>
      <c r="C87" s="21">
        <f t="shared" si="19"/>
        <v>50.497998995314525</v>
      </c>
      <c r="D87" s="6">
        <v>24.811796470000001</v>
      </c>
      <c r="E87" s="8">
        <f t="shared" si="22"/>
        <v>0.49134217124726415</v>
      </c>
      <c r="F87" s="8">
        <f t="shared" si="23"/>
        <v>-0.30861595934575142</v>
      </c>
      <c r="G87" s="8">
        <f t="shared" si="24"/>
        <v>1.3946582100103222</v>
      </c>
      <c r="H87" s="3">
        <f t="shared" si="20"/>
        <v>2.0390526332610337</v>
      </c>
      <c r="I87" s="3">
        <f t="shared" si="21"/>
        <v>0.75026378675961058</v>
      </c>
      <c r="J87" s="7">
        <f t="shared" si="25"/>
        <v>109.40889536812566</v>
      </c>
      <c r="K87" s="7">
        <f t="shared" si="26"/>
        <v>5.626829902608236</v>
      </c>
    </row>
    <row r="88" spans="2:11" x14ac:dyDescent="0.25">
      <c r="B88" s="5" t="s">
        <v>10</v>
      </c>
      <c r="C88" s="21">
        <f t="shared" si="19"/>
        <v>104.70492603785372</v>
      </c>
      <c r="D88" s="6">
        <v>90.272551899999996</v>
      </c>
      <c r="E88" s="8">
        <f t="shared" si="22"/>
        <v>0.86216145998101346</v>
      </c>
      <c r="F88" s="8">
        <f t="shared" si="23"/>
        <v>-6.4411394717661122E-2</v>
      </c>
      <c r="G88" s="8">
        <f t="shared" si="24"/>
        <v>1.9555557196329276</v>
      </c>
      <c r="H88" s="3">
        <f t="shared" si="20"/>
        <v>2.5999501428836393</v>
      </c>
      <c r="I88" s="3">
        <f t="shared" si="21"/>
        <v>1.3111612963822159</v>
      </c>
      <c r="J88" s="7">
        <f t="shared" si="25"/>
        <v>398.06147037287838</v>
      </c>
      <c r="K88" s="7">
        <f t="shared" si="26"/>
        <v>20.472048246479655</v>
      </c>
    </row>
    <row r="89" spans="2:11" x14ac:dyDescent="0.25">
      <c r="B89" s="5" t="s">
        <v>11</v>
      </c>
      <c r="C89" s="21">
        <f t="shared" si="19"/>
        <v>75.634910606981208</v>
      </c>
      <c r="D89" s="6">
        <v>74.676912610000002</v>
      </c>
      <c r="E89" s="8">
        <f t="shared" si="22"/>
        <v>0.98733391777298163</v>
      </c>
      <c r="F89" s="8">
        <f t="shared" si="23"/>
        <v>-5.5359434593487203E-3</v>
      </c>
      <c r="G89" s="8">
        <f t="shared" si="24"/>
        <v>1.8731863544811462</v>
      </c>
      <c r="H89" s="3">
        <f t="shared" si="20"/>
        <v>2.5175807777318577</v>
      </c>
      <c r="I89" s="3">
        <f t="shared" si="21"/>
        <v>1.2287919312304347</v>
      </c>
      <c r="J89" s="7">
        <f t="shared" si="25"/>
        <v>329.29169510321037</v>
      </c>
      <c r="K89" s="7">
        <f t="shared" si="26"/>
        <v>16.935262443268392</v>
      </c>
    </row>
    <row r="90" spans="2:11" x14ac:dyDescent="0.25">
      <c r="B90" s="5" t="s">
        <v>12</v>
      </c>
      <c r="C90" s="21">
        <f t="shared" si="19"/>
        <v>61.152003128092865</v>
      </c>
      <c r="D90" s="6">
        <v>38.428147240000001</v>
      </c>
      <c r="E90" s="8">
        <f t="shared" si="22"/>
        <v>0.62840373617044021</v>
      </c>
      <c r="F90" s="8">
        <f t="shared" si="23"/>
        <v>-0.20176124152929209</v>
      </c>
      <c r="G90" s="8">
        <f t="shared" si="24"/>
        <v>1.5846494460609826</v>
      </c>
      <c r="H90" s="3">
        <f t="shared" si="20"/>
        <v>2.2290438693116941</v>
      </c>
      <c r="I90" s="3">
        <f t="shared" si="21"/>
        <v>0.94025502281027096</v>
      </c>
      <c r="J90" s="7">
        <f t="shared" si="25"/>
        <v>169.45089589363721</v>
      </c>
      <c r="K90" s="7">
        <f t="shared" si="26"/>
        <v>8.714751801761178</v>
      </c>
    </row>
    <row r="91" spans="2:11" x14ac:dyDescent="0.25">
      <c r="B91" s="5" t="s">
        <v>13</v>
      </c>
      <c r="C91" s="21">
        <f t="shared" si="19"/>
        <v>65.197170479430596</v>
      </c>
      <c r="D91" s="6">
        <v>57.249858080000003</v>
      </c>
      <c r="E91" s="8">
        <f t="shared" si="22"/>
        <v>0.87810341551650717</v>
      </c>
      <c r="F91" s="8">
        <f t="shared" si="23"/>
        <v>-5.6454333588958697E-2</v>
      </c>
      <c r="G91" s="8">
        <f t="shared" si="24"/>
        <v>1.7577744144154319</v>
      </c>
      <c r="H91" s="3">
        <f t="shared" si="20"/>
        <v>2.4021688376661436</v>
      </c>
      <c r="I91" s="3">
        <f t="shared" si="21"/>
        <v>1.1133799911647202</v>
      </c>
      <c r="J91" s="7">
        <f t="shared" si="25"/>
        <v>252.44619993913591</v>
      </c>
      <c r="K91" s="7">
        <f t="shared" si="26"/>
        <v>12.983147502201872</v>
      </c>
    </row>
    <row r="92" spans="2:11" x14ac:dyDescent="0.25">
      <c r="B92" s="5" t="s">
        <v>14</v>
      </c>
      <c r="C92" s="21">
        <f t="shared" si="19"/>
        <v>54.375249476693625</v>
      </c>
      <c r="D92" s="6">
        <v>47.853358710000002</v>
      </c>
      <c r="E92" s="8">
        <f t="shared" si="22"/>
        <v>0.88005773160656409</v>
      </c>
      <c r="F92" s="8">
        <f t="shared" si="23"/>
        <v>-5.5488837286458433E-2</v>
      </c>
      <c r="G92" s="8">
        <f t="shared" si="24"/>
        <v>1.6799124252482418</v>
      </c>
      <c r="H92" s="3">
        <f t="shared" si="20"/>
        <v>2.3243068484989533</v>
      </c>
      <c r="I92" s="3">
        <f t="shared" si="21"/>
        <v>1.0355180019975303</v>
      </c>
      <c r="J92" s="7">
        <f t="shared" si="25"/>
        <v>211.01185165879176</v>
      </c>
      <c r="K92" s="7">
        <f t="shared" si="26"/>
        <v>10.852205323191026</v>
      </c>
    </row>
    <row r="93" spans="2:11" x14ac:dyDescent="0.25">
      <c r="B93" s="5" t="s">
        <v>15</v>
      </c>
      <c r="C93" s="21">
        <f t="shared" si="19"/>
        <v>55.584945273984779</v>
      </c>
      <c r="D93" s="6">
        <v>63.531843979999998</v>
      </c>
      <c r="E93" s="8">
        <f t="shared" si="22"/>
        <v>1.1429685442136177</v>
      </c>
      <c r="F93" s="8">
        <f t="shared" si="23"/>
        <v>5.8034278284667444E-2</v>
      </c>
      <c r="G93" s="8">
        <f t="shared" si="24"/>
        <v>1.8029914606983466</v>
      </c>
      <c r="H93" s="3">
        <f t="shared" si="20"/>
        <v>2.4473858839490581</v>
      </c>
      <c r="I93" s="3">
        <f t="shared" si="21"/>
        <v>1.1585970374476351</v>
      </c>
      <c r="J93" s="7">
        <f t="shared" si="25"/>
        <v>280.14694054726385</v>
      </c>
      <c r="K93" s="7">
        <f t="shared" si="26"/>
        <v>14.407778973470881</v>
      </c>
    </row>
    <row r="94" spans="2:11" x14ac:dyDescent="0.25">
      <c r="B94" s="5" t="s">
        <v>16</v>
      </c>
      <c r="C94" s="21">
        <f t="shared" si="19"/>
        <v>70.96223787356297</v>
      </c>
      <c r="D94" s="6">
        <v>49.714662689999997</v>
      </c>
      <c r="E94" s="8">
        <f t="shared" si="22"/>
        <v>0.70057912743083361</v>
      </c>
      <c r="F94" s="8">
        <f t="shared" si="23"/>
        <v>-0.15454280589449906</v>
      </c>
      <c r="G94" s="8">
        <f t="shared" si="24"/>
        <v>1.6964844971075039</v>
      </c>
      <c r="H94" s="3">
        <f t="shared" si="20"/>
        <v>2.3408789203582154</v>
      </c>
      <c r="I94" s="3">
        <f t="shared" si="21"/>
        <v>1.0520900738567924</v>
      </c>
      <c r="J94" s="7">
        <f t="shared" si="25"/>
        <v>219.21936749273456</v>
      </c>
      <c r="K94" s="7">
        <f t="shared" si="26"/>
        <v>11.274312642391831</v>
      </c>
    </row>
    <row r="95" spans="2:11" x14ac:dyDescent="0.25">
      <c r="B95" s="5" t="s">
        <v>17</v>
      </c>
      <c r="C95" s="21">
        <f t="shared" si="19"/>
        <v>36.595969660767977</v>
      </c>
      <c r="D95" s="6">
        <v>19.595903580000002</v>
      </c>
      <c r="E95" s="8">
        <f t="shared" si="22"/>
        <v>0.53546616640158118</v>
      </c>
      <c r="F95" s="8">
        <f t="shared" si="23"/>
        <v>-0.27126796499888728</v>
      </c>
      <c r="G95" s="8">
        <f t="shared" si="24"/>
        <v>1.2921652938799777</v>
      </c>
      <c r="H95" s="3">
        <f t="shared" si="20"/>
        <v>1.9365597171306894</v>
      </c>
      <c r="I95" s="3">
        <f t="shared" si="21"/>
        <v>0.64777087062926608</v>
      </c>
      <c r="J95" s="7">
        <f t="shared" si="25"/>
        <v>86.409146835472939</v>
      </c>
      <c r="K95" s="7">
        <f t="shared" si="26"/>
        <v>4.4439674638590088</v>
      </c>
    </row>
    <row r="96" spans="2:11" x14ac:dyDescent="0.25">
      <c r="B96" s="5" t="s">
        <v>18</v>
      </c>
      <c r="C96" s="21">
        <f t="shared" si="19"/>
        <v>39.899551040617773</v>
      </c>
      <c r="D96" s="6">
        <v>46.052385209999997</v>
      </c>
      <c r="E96" s="8">
        <f t="shared" si="22"/>
        <v>1.1542081053272664</v>
      </c>
      <c r="F96" s="8">
        <f t="shared" si="23"/>
        <v>6.2284119779043148E-2</v>
      </c>
      <c r="G96" s="8">
        <f t="shared" si="24"/>
        <v>1.6632521287069122</v>
      </c>
      <c r="H96" s="3">
        <f t="shared" si="20"/>
        <v>2.3076465519576237</v>
      </c>
      <c r="I96" s="3">
        <f t="shared" si="21"/>
        <v>1.0188577054562007</v>
      </c>
      <c r="J96" s="7">
        <f t="shared" si="25"/>
        <v>203.07036618592346</v>
      </c>
      <c r="K96" s="7">
        <f t="shared" si="26"/>
        <v>10.443779776259838</v>
      </c>
    </row>
    <row r="97" spans="2:11" x14ac:dyDescent="0.25">
      <c r="B97" s="5" t="s">
        <v>19</v>
      </c>
      <c r="C97" s="21">
        <f t="shared" si="19"/>
        <v>39.676534946171785</v>
      </c>
      <c r="D97" s="6">
        <v>58.0373886</v>
      </c>
      <c r="E97" s="8">
        <f t="shared" si="22"/>
        <v>1.4627635371571119</v>
      </c>
      <c r="F97" s="8">
        <f t="shared" si="23"/>
        <v>0.16517412598318668</v>
      </c>
      <c r="G97" s="8">
        <f t="shared" si="24"/>
        <v>1.7637078630674812</v>
      </c>
      <c r="H97" s="3">
        <f t="shared" si="20"/>
        <v>2.4081022863181927</v>
      </c>
      <c r="I97" s="3">
        <f t="shared" si="21"/>
        <v>1.1193134398167697</v>
      </c>
      <c r="J97" s="7">
        <f t="shared" si="25"/>
        <v>255.91885635746729</v>
      </c>
      <c r="K97" s="7">
        <f t="shared" si="26"/>
        <v>13.161744013120002</v>
      </c>
    </row>
    <row r="98" spans="2:11" x14ac:dyDescent="0.25">
      <c r="B98" s="5" t="s">
        <v>20</v>
      </c>
      <c r="C98" s="21">
        <f t="shared" si="19"/>
        <v>76.944235778309007</v>
      </c>
      <c r="D98" s="6">
        <v>99.185768229999994</v>
      </c>
      <c r="E98" s="8">
        <f t="shared" si="22"/>
        <v>1.2890604114357971</v>
      </c>
      <c r="F98" s="8">
        <f t="shared" si="23"/>
        <v>0.11027327091307831</v>
      </c>
      <c r="G98" s="8">
        <f t="shared" si="24"/>
        <v>1.9964493614426344</v>
      </c>
      <c r="H98" s="3">
        <f t="shared" si="20"/>
        <v>2.6408437846933461</v>
      </c>
      <c r="I98" s="3">
        <f t="shared" si="21"/>
        <v>1.3520549381919227</v>
      </c>
      <c r="J98" s="7">
        <f t="shared" si="25"/>
        <v>437.36475717927863</v>
      </c>
      <c r="K98" s="7">
        <f t="shared" si="26"/>
        <v>22.493391289281913</v>
      </c>
    </row>
    <row r="99" spans="2:11" x14ac:dyDescent="0.25">
      <c r="B99" s="5" t="s">
        <v>21</v>
      </c>
      <c r="C99" s="21">
        <f t="shared" si="19"/>
        <v>96.122084530400926</v>
      </c>
      <c r="D99" s="6">
        <v>33.745095970000001</v>
      </c>
      <c r="E99" s="8">
        <f t="shared" si="22"/>
        <v>0.35106496217658806</v>
      </c>
      <c r="F99" s="8">
        <f t="shared" si="23"/>
        <v>-0.45461251286643123</v>
      </c>
      <c r="G99" s="8">
        <f t="shared" si="24"/>
        <v>1.5282106675991196</v>
      </c>
      <c r="H99" s="3">
        <f t="shared" si="20"/>
        <v>2.1726050908498311</v>
      </c>
      <c r="I99" s="3">
        <f t="shared" si="21"/>
        <v>0.883816244348408</v>
      </c>
      <c r="J99" s="7">
        <f t="shared" si="25"/>
        <v>148.80073994775475</v>
      </c>
      <c r="K99" s="7">
        <f t="shared" si="26"/>
        <v>7.6527274153631923</v>
      </c>
    </row>
    <row r="100" spans="2:11" x14ac:dyDescent="0.25">
      <c r="B100" s="5" t="s">
        <v>22</v>
      </c>
      <c r="C100" s="21">
        <f t="shared" si="19"/>
        <v>68.059053227462726</v>
      </c>
      <c r="D100" s="6">
        <v>150.38375049999999</v>
      </c>
      <c r="E100" s="8">
        <f t="shared" si="22"/>
        <v>2.2096068541740772</v>
      </c>
      <c r="F100" s="8">
        <f t="shared" si="23"/>
        <v>0.3443150084129426</v>
      </c>
      <c r="G100" s="8">
        <f t="shared" si="24"/>
        <v>2.1772009117247682</v>
      </c>
      <c r="H100" s="3">
        <f t="shared" si="20"/>
        <v>2.8215953349754797</v>
      </c>
      <c r="I100" s="3">
        <f t="shared" si="21"/>
        <v>1.5328064884740566</v>
      </c>
      <c r="J100" s="7">
        <f t="shared" si="25"/>
        <v>663.12489881232705</v>
      </c>
      <c r="K100" s="7">
        <f t="shared" si="26"/>
        <v>34.1040917856512</v>
      </c>
    </row>
    <row r="101" spans="2:11" x14ac:dyDescent="0.25">
      <c r="B101" s="5" t="s">
        <v>23</v>
      </c>
      <c r="C101" s="21">
        <f t="shared" si="19"/>
        <v>236.47264387980206</v>
      </c>
      <c r="D101" s="6">
        <v>126.3670217</v>
      </c>
      <c r="E101" s="8">
        <f t="shared" si="22"/>
        <v>0.53438325730494118</v>
      </c>
      <c r="F101" s="8">
        <f t="shared" si="23"/>
        <v>-0.27214715714550197</v>
      </c>
      <c r="G101" s="8">
        <f t="shared" si="24"/>
        <v>2.101633749876656</v>
      </c>
      <c r="H101" s="3">
        <f t="shared" si="20"/>
        <v>2.7460281731273675</v>
      </c>
      <c r="I101" s="3">
        <f t="shared" si="21"/>
        <v>1.4572393266259445</v>
      </c>
      <c r="J101" s="7">
        <f t="shared" si="25"/>
        <v>557.2218953139336</v>
      </c>
      <c r="K101" s="7">
        <f t="shared" si="26"/>
        <v>28.657567672088202</v>
      </c>
    </row>
    <row r="102" spans="2:11" x14ac:dyDescent="0.25">
      <c r="B102" s="5" t="s">
        <v>24</v>
      </c>
      <c r="C102" s="21">
        <f t="shared" si="19"/>
        <v>100.41914183734933</v>
      </c>
      <c r="D102" s="6">
        <v>127.6473065</v>
      </c>
      <c r="E102" s="8">
        <f t="shared" si="22"/>
        <v>1.2711451638050504</v>
      </c>
      <c r="F102" s="8">
        <f t="shared" si="23"/>
        <v>0.10419514948366145</v>
      </c>
      <c r="G102" s="8">
        <f t="shared" si="24"/>
        <v>2.1060116551408279</v>
      </c>
      <c r="H102" s="3">
        <f t="shared" si="20"/>
        <v>2.7504060783915394</v>
      </c>
      <c r="I102" s="3">
        <f t="shared" si="21"/>
        <v>1.4616172318901164</v>
      </c>
      <c r="J102" s="7">
        <f t="shared" si="25"/>
        <v>562.86737712714921</v>
      </c>
      <c r="K102" s="7">
        <f t="shared" si="26"/>
        <v>28.947911211106224</v>
      </c>
    </row>
    <row r="103" spans="2:11" x14ac:dyDescent="0.25">
      <c r="B103" s="5" t="s">
        <v>25</v>
      </c>
      <c r="C103" s="21">
        <f t="shared" si="19"/>
        <v>135.77009207186958</v>
      </c>
      <c r="D103" s="6">
        <v>151.52672749999999</v>
      </c>
      <c r="E103" s="8">
        <f t="shared" si="22"/>
        <v>1.1160538023336515</v>
      </c>
      <c r="F103" s="8">
        <f t="shared" si="23"/>
        <v>4.7685131423601104E-2</v>
      </c>
      <c r="G103" s="8">
        <f t="shared" si="24"/>
        <v>2.1804892439405257</v>
      </c>
      <c r="H103" s="3">
        <f t="shared" si="20"/>
        <v>2.8248836671912372</v>
      </c>
      <c r="I103" s="3">
        <f t="shared" si="21"/>
        <v>1.5360948206898142</v>
      </c>
      <c r="J103" s="7">
        <f t="shared" si="25"/>
        <v>668.16491480441323</v>
      </c>
      <c r="K103" s="7">
        <f t="shared" si="26"/>
        <v>34.363296602576483</v>
      </c>
    </row>
    <row r="104" spans="2:11" x14ac:dyDescent="0.25">
      <c r="B104" s="5" t="s">
        <v>26</v>
      </c>
      <c r="C104" s="21">
        <f t="shared" si="19"/>
        <v>67.310160262506642</v>
      </c>
      <c r="D104" s="6">
        <v>59.765026890000001</v>
      </c>
      <c r="E104" s="8">
        <f t="shared" si="22"/>
        <v>0.88790498576914756</v>
      </c>
      <c r="F104" s="8">
        <f t="shared" si="23"/>
        <v>-5.1633505351928517E-2</v>
      </c>
      <c r="G104" s="8">
        <f t="shared" si="24"/>
        <v>1.7764471192419506</v>
      </c>
      <c r="H104" s="3">
        <f t="shared" si="20"/>
        <v>2.4208415424926621</v>
      </c>
      <c r="I104" s="3">
        <f t="shared" si="21"/>
        <v>1.1320526959912391</v>
      </c>
      <c r="J104" s="7">
        <f t="shared" si="25"/>
        <v>263.53696644204439</v>
      </c>
      <c r="K104" s="7">
        <f t="shared" si="26"/>
        <v>13.55353856950437</v>
      </c>
    </row>
    <row r="105" spans="2:11" x14ac:dyDescent="0.25">
      <c r="B105" s="5" t="s">
        <v>27</v>
      </c>
      <c r="C105" s="21">
        <f t="shared" si="19"/>
        <v>99.750283211940996</v>
      </c>
      <c r="D105" s="6">
        <v>97.497305679999997</v>
      </c>
      <c r="E105" s="8">
        <f t="shared" si="22"/>
        <v>0.97741382320535308</v>
      </c>
      <c r="F105" s="8">
        <f t="shared" si="23"/>
        <v>-9.9215231967815769E-3</v>
      </c>
      <c r="G105" s="8">
        <f t="shared" si="24"/>
        <v>1.9889926142167269</v>
      </c>
      <c r="H105" s="3">
        <f t="shared" si="20"/>
        <v>2.6333870374674384</v>
      </c>
      <c r="I105" s="3">
        <f t="shared" si="21"/>
        <v>1.3445981909660154</v>
      </c>
      <c r="J105" s="7">
        <f t="shared" si="25"/>
        <v>429.91939453940245</v>
      </c>
      <c r="K105" s="7">
        <f t="shared" si="26"/>
        <v>22.110481024107802</v>
      </c>
    </row>
    <row r="106" spans="2:11" x14ac:dyDescent="0.25">
      <c r="B106" s="5" t="s">
        <v>28</v>
      </c>
      <c r="C106" s="21">
        <f t="shared" si="19"/>
        <v>148.35896614903874</v>
      </c>
      <c r="D106" s="6">
        <v>124.82689329999999</v>
      </c>
      <c r="E106" s="8">
        <f t="shared" si="22"/>
        <v>0.8413842219323715</v>
      </c>
      <c r="F106" s="8">
        <f t="shared" si="23"/>
        <v>-7.5005636355099145E-2</v>
      </c>
      <c r="G106" s="8">
        <f t="shared" si="24"/>
        <v>2.0963081618972401</v>
      </c>
      <c r="H106" s="3">
        <f t="shared" si="20"/>
        <v>2.7407025851479516</v>
      </c>
      <c r="I106" s="3">
        <f t="shared" si="21"/>
        <v>1.4519137386465286</v>
      </c>
      <c r="J106" s="7">
        <f t="shared" si="25"/>
        <v>550.43061975382545</v>
      </c>
      <c r="K106" s="7">
        <f t="shared" si="26"/>
        <v>28.308296689414504</v>
      </c>
    </row>
    <row r="107" spans="2:11" x14ac:dyDescent="0.25">
      <c r="B107" s="5" t="s">
        <v>29</v>
      </c>
      <c r="C107" s="21">
        <f t="shared" si="19"/>
        <v>246.77944499633432</v>
      </c>
      <c r="D107" s="6">
        <v>163.69585509999999</v>
      </c>
      <c r="E107" s="8">
        <f t="shared" si="22"/>
        <v>0.66332856491524872</v>
      </c>
      <c r="F107" s="8">
        <f t="shared" si="23"/>
        <v>-0.17827130027745075</v>
      </c>
      <c r="G107" s="8">
        <f t="shared" si="24"/>
        <v>2.2140376828939949</v>
      </c>
      <c r="H107" s="3">
        <f t="shared" si="20"/>
        <v>2.8584321061447064</v>
      </c>
      <c r="I107" s="3">
        <f t="shared" si="21"/>
        <v>1.5696432596432834</v>
      </c>
      <c r="J107" s="7">
        <f t="shared" si="25"/>
        <v>721.8253101699637</v>
      </c>
      <c r="K107" s="7">
        <f t="shared" si="26"/>
        <v>37.123016607177</v>
      </c>
    </row>
    <row r="108" spans="2:11" x14ac:dyDescent="0.25">
      <c r="B108" s="5" t="s">
        <v>30</v>
      </c>
      <c r="C108" s="21">
        <f t="shared" si="19"/>
        <v>170.50733576360008</v>
      </c>
      <c r="D108" s="6">
        <v>45.773785269999998</v>
      </c>
      <c r="E108" s="8">
        <f t="shared" si="22"/>
        <v>0.26845639845937813</v>
      </c>
      <c r="F108" s="8">
        <f t="shared" si="23"/>
        <v>-0.57112624049014615</v>
      </c>
      <c r="G108" s="8">
        <f t="shared" si="24"/>
        <v>1.6606168279592954</v>
      </c>
      <c r="H108" s="3">
        <f t="shared" si="20"/>
        <v>2.3050112512100069</v>
      </c>
      <c r="I108" s="3">
        <f t="shared" si="21"/>
        <v>1.0162224047085839</v>
      </c>
      <c r="J108" s="7">
        <f t="shared" si="25"/>
        <v>201.84186539107455</v>
      </c>
      <c r="K108" s="7">
        <f t="shared" si="26"/>
        <v>10.380598761731031</v>
      </c>
    </row>
    <row r="109" spans="2:11" x14ac:dyDescent="0.25">
      <c r="B109" s="5" t="s">
        <v>31</v>
      </c>
      <c r="C109" s="21">
        <f t="shared" si="19"/>
        <v>109.79308532664095</v>
      </c>
      <c r="D109" s="6">
        <v>40.368555899999997</v>
      </c>
      <c r="E109" s="8">
        <f t="shared" si="22"/>
        <v>0.3676784906800018</v>
      </c>
      <c r="F109" s="8">
        <f t="shared" si="23"/>
        <v>-0.43453177576675456</v>
      </c>
      <c r="G109" s="8">
        <f t="shared" si="24"/>
        <v>1.6060432137184906</v>
      </c>
      <c r="H109" s="3">
        <f t="shared" si="20"/>
        <v>2.2504376369692021</v>
      </c>
      <c r="I109" s="3">
        <f t="shared" si="21"/>
        <v>0.96164879046777896</v>
      </c>
      <c r="J109" s="7">
        <f t="shared" si="25"/>
        <v>178.00722789120275</v>
      </c>
      <c r="K109" s="7">
        <f t="shared" si="26"/>
        <v>9.1547985144032626</v>
      </c>
    </row>
    <row r="110" spans="2:11" x14ac:dyDescent="0.25">
      <c r="B110" s="5" t="s">
        <v>32</v>
      </c>
      <c r="C110" s="21">
        <f t="shared" si="19"/>
        <v>73.40611137827463</v>
      </c>
      <c r="D110" s="6">
        <v>45.179256979999998</v>
      </c>
      <c r="E110" s="8">
        <f t="shared" si="22"/>
        <v>0.61546996744158433</v>
      </c>
      <c r="F110" s="8">
        <f t="shared" si="23"/>
        <v>-0.21079313410978201</v>
      </c>
      <c r="G110" s="8">
        <f t="shared" si="24"/>
        <v>1.6549390842173806</v>
      </c>
      <c r="H110" s="3">
        <f t="shared" si="20"/>
        <v>2.2993335074680923</v>
      </c>
      <c r="I110" s="3">
        <f t="shared" si="21"/>
        <v>1.0105446609666688</v>
      </c>
      <c r="J110" s="7">
        <f t="shared" si="25"/>
        <v>199.22026225352468</v>
      </c>
      <c r="K110" s="7">
        <f t="shared" si="26"/>
        <v>10.245771379757159</v>
      </c>
    </row>
    <row r="111" spans="2:11" s="2" customFormat="1" x14ac:dyDescent="0.25">
      <c r="B111" s="111" t="s">
        <v>85</v>
      </c>
      <c r="C111" s="111"/>
      <c r="D111" s="6">
        <v>10</v>
      </c>
      <c r="E111" s="8"/>
      <c r="F111" s="8"/>
      <c r="G111" s="8">
        <f t="shared" si="24"/>
        <v>1</v>
      </c>
      <c r="H111" s="3">
        <f t="shared" si="20"/>
        <v>1.6443944232507115</v>
      </c>
      <c r="I111" s="3">
        <f t="shared" si="21"/>
        <v>0.35560557674928839</v>
      </c>
      <c r="J111" s="7">
        <f t="shared" si="25"/>
        <v>44.095515413570368</v>
      </c>
      <c r="K111" s="7">
        <f t="shared" si="26"/>
        <v>2.2678043121188938</v>
      </c>
    </row>
    <row r="112" spans="2:11" s="2" customFormat="1" x14ac:dyDescent="0.25">
      <c r="B112" s="111"/>
      <c r="C112" s="111"/>
      <c r="D112" s="6">
        <v>1200</v>
      </c>
      <c r="E112" s="8"/>
      <c r="F112" s="8"/>
      <c r="G112" s="8">
        <f t="shared" si="24"/>
        <v>3.0791812460476247</v>
      </c>
      <c r="H112" s="3">
        <f t="shared" si="20"/>
        <v>3.7235756692983362</v>
      </c>
      <c r="I112" s="3">
        <f t="shared" si="21"/>
        <v>2.4347868227969132</v>
      </c>
      <c r="J112" s="7">
        <f t="shared" si="25"/>
        <v>5291.4618496284402</v>
      </c>
      <c r="K112" s="7">
        <f t="shared" si="26"/>
        <v>272.13651745426739</v>
      </c>
    </row>
    <row r="113" spans="2:11" s="2" customFormat="1" x14ac:dyDescent="0.25">
      <c r="B113" s="12" t="s">
        <v>83</v>
      </c>
      <c r="C113" s="21">
        <f>Q64</f>
        <v>45.331593205312721</v>
      </c>
      <c r="D113" s="6"/>
      <c r="E113" s="8"/>
      <c r="F113" s="8"/>
      <c r="G113" s="8">
        <f>LOG(C113)</f>
        <v>1.6564009828600719</v>
      </c>
      <c r="H113" s="3">
        <f t="shared" si="20"/>
        <v>2.3007954061107836</v>
      </c>
      <c r="I113" s="3">
        <f t="shared" si="21"/>
        <v>1.0120065596093601</v>
      </c>
      <c r="J113" s="7">
        <f t="shared" si="25"/>
        <v>199.89199669065698</v>
      </c>
      <c r="K113" s="7">
        <f t="shared" si="26"/>
        <v>10.280318254622772</v>
      </c>
    </row>
    <row r="114" spans="2:11" x14ac:dyDescent="0.25">
      <c r="F114" s="5" t="s">
        <v>62</v>
      </c>
      <c r="G114" s="9">
        <f>AVERAGE(F82:F110)</f>
        <v>1.0013042434998752E-3</v>
      </c>
      <c r="H114" s="5" t="s">
        <v>63</v>
      </c>
      <c r="I114" s="9">
        <f>STDEV(F82:F110)</f>
        <v>0.32877266492383245</v>
      </c>
      <c r="J114" s="2" t="s">
        <v>84</v>
      </c>
      <c r="K114" s="9">
        <f>1.96*I114</f>
        <v>0.64439442325071161</v>
      </c>
    </row>
    <row r="115" spans="2:11" x14ac:dyDescent="0.25">
      <c r="H115" s="3"/>
      <c r="I115" s="2"/>
      <c r="J115" s="2"/>
      <c r="K115" s="2"/>
    </row>
    <row r="118" spans="2:11" x14ac:dyDescent="0.25">
      <c r="B118" s="110" t="s">
        <v>37</v>
      </c>
      <c r="C118" s="110"/>
      <c r="D118" s="110"/>
      <c r="E118" s="110"/>
      <c r="H118" s="2"/>
      <c r="I118" s="2"/>
      <c r="J118" s="2"/>
      <c r="K118" s="2"/>
    </row>
    <row r="119" spans="2:11" x14ac:dyDescent="0.25">
      <c r="B119" s="111" t="s">
        <v>33</v>
      </c>
      <c r="C119" s="51" t="s">
        <v>105</v>
      </c>
      <c r="D119" s="5" t="s">
        <v>58</v>
      </c>
      <c r="E119" s="5" t="s">
        <v>60</v>
      </c>
      <c r="F119" s="5" t="s">
        <v>59</v>
      </c>
      <c r="G119" s="5" t="s">
        <v>66</v>
      </c>
      <c r="H119" s="5" t="s">
        <v>64</v>
      </c>
      <c r="I119" s="5" t="s">
        <v>65</v>
      </c>
      <c r="J119" s="5" t="s">
        <v>64</v>
      </c>
      <c r="K119" s="5" t="s">
        <v>65</v>
      </c>
    </row>
    <row r="120" spans="2:11" x14ac:dyDescent="0.25">
      <c r="B120" s="111"/>
      <c r="C120" s="5" t="s">
        <v>57</v>
      </c>
      <c r="D120" s="5" t="s">
        <v>57</v>
      </c>
      <c r="E120" s="5" t="s">
        <v>61</v>
      </c>
      <c r="F120" s="5"/>
      <c r="G120" s="5"/>
      <c r="H120" s="110" t="s">
        <v>67</v>
      </c>
      <c r="I120" s="110"/>
      <c r="J120" s="2"/>
      <c r="K120" s="2"/>
    </row>
    <row r="121" spans="2:11" x14ac:dyDescent="0.25">
      <c r="B121" s="5" t="s">
        <v>4</v>
      </c>
      <c r="C121" s="4">
        <f t="shared" ref="C121:C149" si="27">$S$14*(P20^$T$14)*(T20^$U$14)*(S20^$V$14)*(R20^$W$14)</f>
        <v>61.700836875614065</v>
      </c>
      <c r="D121" s="6">
        <v>133.3445475</v>
      </c>
      <c r="E121" s="8">
        <f>D121/C121</f>
        <v>2.1611464973938075</v>
      </c>
      <c r="F121" s="8">
        <f>LOG(E121)</f>
        <v>0.33468420735214099</v>
      </c>
      <c r="G121" s="8">
        <f>LOG(D121)</f>
        <v>2.124975261952585</v>
      </c>
      <c r="H121" s="3">
        <f t="shared" ref="H121:H152" si="28">G121+$K$153</f>
        <v>2.6358904952687237</v>
      </c>
      <c r="I121" s="3">
        <f t="shared" ref="I121:I152" si="29">G121-$K$153</f>
        <v>1.6140600286364462</v>
      </c>
      <c r="J121" s="3">
        <f>10^H121</f>
        <v>432.40478903181616</v>
      </c>
      <c r="K121" s="3">
        <f>10^I121</f>
        <v>41.12065545756812</v>
      </c>
    </row>
    <row r="122" spans="2:11" x14ac:dyDescent="0.25">
      <c r="B122" s="5" t="s">
        <v>5</v>
      </c>
      <c r="C122" s="4">
        <f t="shared" si="27"/>
        <v>277.25741171090056</v>
      </c>
      <c r="D122" s="6">
        <v>530.07671349999998</v>
      </c>
      <c r="E122" s="8">
        <f t="shared" ref="E122:E149" si="30">D122/C122</f>
        <v>1.9118576857116338</v>
      </c>
      <c r="F122" s="8">
        <f t="shared" ref="F122:F149" si="31">LOG(E122)</f>
        <v>0.28145556126098287</v>
      </c>
      <c r="G122" s="8">
        <f t="shared" ref="G122:G151" si="32">LOG(D122)</f>
        <v>2.7243387259004725</v>
      </c>
      <c r="H122" s="3">
        <f t="shared" si="28"/>
        <v>3.2352539592166112</v>
      </c>
      <c r="I122" s="3">
        <f t="shared" si="29"/>
        <v>2.2134234925843339</v>
      </c>
      <c r="J122" s="3">
        <f t="shared" ref="J122:J152" si="33">10^H122</f>
        <v>1718.9132496898385</v>
      </c>
      <c r="K122" s="3">
        <f t="shared" ref="K122:K152" si="34">10^I122</f>
        <v>163.46451587691331</v>
      </c>
    </row>
    <row r="123" spans="2:11" x14ac:dyDescent="0.25">
      <c r="B123" s="5" t="s">
        <v>6</v>
      </c>
      <c r="C123" s="4">
        <f t="shared" si="27"/>
        <v>184.83885230444076</v>
      </c>
      <c r="D123" s="6">
        <v>1102.0513739999999</v>
      </c>
      <c r="E123" s="8">
        <f t="shared" si="30"/>
        <v>5.9622279637662681</v>
      </c>
      <c r="F123" s="8">
        <f t="shared" si="31"/>
        <v>0.7754085771164474</v>
      </c>
      <c r="G123" s="8">
        <f t="shared" si="32"/>
        <v>3.0422018403639171</v>
      </c>
      <c r="H123" s="3">
        <f t="shared" si="28"/>
        <v>3.5531170736800561</v>
      </c>
      <c r="I123" s="3">
        <f t="shared" si="29"/>
        <v>2.531286607047778</v>
      </c>
      <c r="J123" s="3">
        <f t="shared" si="33"/>
        <v>3573.6916192744493</v>
      </c>
      <c r="K123" s="3">
        <f t="shared" si="34"/>
        <v>339.84947788580223</v>
      </c>
    </row>
    <row r="124" spans="2:11" x14ac:dyDescent="0.25">
      <c r="B124" s="5" t="s">
        <v>7</v>
      </c>
      <c r="C124" s="4">
        <f t="shared" si="27"/>
        <v>440.78423707716661</v>
      </c>
      <c r="D124" s="6">
        <v>308.34193260000001</v>
      </c>
      <c r="E124" s="8">
        <f t="shared" si="30"/>
        <v>0.69953030681090267</v>
      </c>
      <c r="F124" s="8">
        <f t="shared" si="31"/>
        <v>-0.15519346516698612</v>
      </c>
      <c r="G124" s="8">
        <f t="shared" si="32"/>
        <v>2.4890325901122927</v>
      </c>
      <c r="H124" s="3">
        <f t="shared" si="28"/>
        <v>2.9999478234284318</v>
      </c>
      <c r="I124" s="3">
        <f t="shared" si="29"/>
        <v>1.9781173567961539</v>
      </c>
      <c r="J124" s="3">
        <f t="shared" si="33"/>
        <v>999.87986622074447</v>
      </c>
      <c r="K124" s="3">
        <f t="shared" si="34"/>
        <v>95.086170460515461</v>
      </c>
    </row>
    <row r="125" spans="2:11" x14ac:dyDescent="0.25">
      <c r="B125" s="5" t="s">
        <v>8</v>
      </c>
      <c r="C125" s="4">
        <f t="shared" si="27"/>
        <v>220.63758073079194</v>
      </c>
      <c r="D125" s="6">
        <v>453.70612870000002</v>
      </c>
      <c r="E125" s="8">
        <f t="shared" si="30"/>
        <v>2.0563411146788435</v>
      </c>
      <c r="F125" s="8">
        <f t="shared" si="31"/>
        <v>0.31309515892958012</v>
      </c>
      <c r="G125" s="8">
        <f t="shared" si="32"/>
        <v>2.6567746457915051</v>
      </c>
      <c r="H125" s="3">
        <f t="shared" si="28"/>
        <v>3.1676898791076438</v>
      </c>
      <c r="I125" s="3">
        <f t="shared" si="29"/>
        <v>2.1458594124753665</v>
      </c>
      <c r="J125" s="3">
        <f t="shared" si="33"/>
        <v>1471.2615291822535</v>
      </c>
      <c r="K125" s="3">
        <f t="shared" si="34"/>
        <v>139.91343288528367</v>
      </c>
    </row>
    <row r="126" spans="2:11" x14ac:dyDescent="0.25">
      <c r="B126" s="5" t="s">
        <v>9</v>
      </c>
      <c r="C126" s="4">
        <f t="shared" si="27"/>
        <v>39.309138584893283</v>
      </c>
      <c r="D126" s="6">
        <v>24.811796470000001</v>
      </c>
      <c r="E126" s="8">
        <f t="shared" si="30"/>
        <v>0.63119664696837974</v>
      </c>
      <c r="F126" s="8">
        <f t="shared" si="31"/>
        <v>-0.19983531684394365</v>
      </c>
      <c r="G126" s="8">
        <f t="shared" si="32"/>
        <v>1.3946582100103222</v>
      </c>
      <c r="H126" s="3">
        <f t="shared" si="28"/>
        <v>1.9055734433264611</v>
      </c>
      <c r="I126" s="3">
        <f t="shared" si="29"/>
        <v>0.88374297669418334</v>
      </c>
      <c r="J126" s="3">
        <f t="shared" si="33"/>
        <v>80.4587800495609</v>
      </c>
      <c r="K126" s="3">
        <f t="shared" si="34"/>
        <v>7.6514364708176448</v>
      </c>
    </row>
    <row r="127" spans="2:11" x14ac:dyDescent="0.25">
      <c r="B127" s="5" t="s">
        <v>10</v>
      </c>
      <c r="C127" s="4">
        <f t="shared" si="27"/>
        <v>90.865294345783838</v>
      </c>
      <c r="D127" s="6">
        <v>90.272551899999996</v>
      </c>
      <c r="E127" s="8">
        <f t="shared" si="30"/>
        <v>0.99347669041242315</v>
      </c>
      <c r="F127" s="8">
        <f t="shared" si="31"/>
        <v>-2.8423181304297004E-3</v>
      </c>
      <c r="G127" s="8">
        <f t="shared" si="32"/>
        <v>1.9555557196329276</v>
      </c>
      <c r="H127" s="3">
        <f t="shared" si="28"/>
        <v>2.4664709529490665</v>
      </c>
      <c r="I127" s="3">
        <f t="shared" si="29"/>
        <v>1.4446404863167888</v>
      </c>
      <c r="J127" s="3">
        <f t="shared" si="33"/>
        <v>292.73250756415962</v>
      </c>
      <c r="K127" s="3">
        <f t="shared" si="34"/>
        <v>27.838157416637813</v>
      </c>
    </row>
    <row r="128" spans="2:11" x14ac:dyDescent="0.25">
      <c r="B128" s="5" t="s">
        <v>11</v>
      </c>
      <c r="C128" s="4">
        <f t="shared" si="27"/>
        <v>107.3645306335914</v>
      </c>
      <c r="D128" s="6">
        <v>74.676912610000002</v>
      </c>
      <c r="E128" s="8">
        <f t="shared" si="30"/>
        <v>0.69554546710453047</v>
      </c>
      <c r="F128" s="8">
        <f t="shared" si="31"/>
        <v>-0.15767447535245252</v>
      </c>
      <c r="G128" s="8">
        <f t="shared" si="32"/>
        <v>1.8731863544811462</v>
      </c>
      <c r="H128" s="3">
        <f t="shared" si="28"/>
        <v>2.3841015877972849</v>
      </c>
      <c r="I128" s="3">
        <f t="shared" si="29"/>
        <v>1.3622711211650074</v>
      </c>
      <c r="J128" s="3">
        <f t="shared" si="33"/>
        <v>242.15954268902112</v>
      </c>
      <c r="K128" s="3">
        <f t="shared" si="34"/>
        <v>23.028790090353983</v>
      </c>
    </row>
    <row r="129" spans="2:11" x14ac:dyDescent="0.25">
      <c r="B129" s="5" t="s">
        <v>12</v>
      </c>
      <c r="C129" s="4">
        <f t="shared" si="27"/>
        <v>62.1124604493641</v>
      </c>
      <c r="D129" s="6">
        <v>38.428147240000001</v>
      </c>
      <c r="E129" s="8">
        <f t="shared" si="30"/>
        <v>0.61868660429782452</v>
      </c>
      <c r="F129" s="8">
        <f t="shared" si="31"/>
        <v>-0.20852928715200061</v>
      </c>
      <c r="G129" s="8">
        <f t="shared" si="32"/>
        <v>1.5846494460609826</v>
      </c>
      <c r="H129" s="3">
        <f t="shared" si="28"/>
        <v>2.0955646793771212</v>
      </c>
      <c r="I129" s="3">
        <f t="shared" si="29"/>
        <v>1.0737342127448437</v>
      </c>
      <c r="J129" s="3">
        <f t="shared" si="33"/>
        <v>124.61338098729371</v>
      </c>
      <c r="K129" s="3">
        <f t="shared" si="34"/>
        <v>11.850432823499872</v>
      </c>
    </row>
    <row r="130" spans="2:11" x14ac:dyDescent="0.25">
      <c r="B130" s="5" t="s">
        <v>13</v>
      </c>
      <c r="C130" s="4">
        <f t="shared" si="27"/>
        <v>84.738302346756583</v>
      </c>
      <c r="D130" s="6">
        <v>57.249858080000003</v>
      </c>
      <c r="E130" s="8">
        <f t="shared" si="30"/>
        <v>0.67560780065817871</v>
      </c>
      <c r="F130" s="8">
        <f t="shared" si="31"/>
        <v>-0.1703053446498089</v>
      </c>
      <c r="G130" s="8">
        <f t="shared" si="32"/>
        <v>1.7577744144154319</v>
      </c>
      <c r="H130" s="3">
        <f t="shared" si="28"/>
        <v>2.2686896477315708</v>
      </c>
      <c r="I130" s="3">
        <f t="shared" si="29"/>
        <v>1.2468591810992931</v>
      </c>
      <c r="J130" s="3">
        <f t="shared" si="33"/>
        <v>185.64773190432732</v>
      </c>
      <c r="K130" s="3">
        <f t="shared" si="34"/>
        <v>17.654652801625453</v>
      </c>
    </row>
    <row r="131" spans="2:11" x14ac:dyDescent="0.25">
      <c r="B131" s="5" t="s">
        <v>14</v>
      </c>
      <c r="C131" s="4">
        <f t="shared" si="27"/>
        <v>55.198719609517184</v>
      </c>
      <c r="D131" s="6">
        <v>47.853358710000002</v>
      </c>
      <c r="E131" s="8">
        <f t="shared" si="30"/>
        <v>0.86692878111160532</v>
      </c>
      <c r="F131" s="8">
        <f t="shared" si="31"/>
        <v>-6.2016578695258132E-2</v>
      </c>
      <c r="G131" s="8">
        <f t="shared" si="32"/>
        <v>1.6799124252482418</v>
      </c>
      <c r="H131" s="3">
        <f t="shared" si="28"/>
        <v>2.1908276585643804</v>
      </c>
      <c r="I131" s="3">
        <f t="shared" si="29"/>
        <v>1.1689971919321029</v>
      </c>
      <c r="J131" s="3">
        <f t="shared" si="33"/>
        <v>155.17710971617626</v>
      </c>
      <c r="K131" s="3">
        <f t="shared" si="34"/>
        <v>14.756969916608908</v>
      </c>
    </row>
    <row r="132" spans="2:11" x14ac:dyDescent="0.25">
      <c r="B132" s="5" t="s">
        <v>15</v>
      </c>
      <c r="C132" s="4">
        <f t="shared" si="27"/>
        <v>92.79896465586414</v>
      </c>
      <c r="D132" s="6">
        <v>63.531843979999998</v>
      </c>
      <c r="E132" s="8">
        <f t="shared" si="30"/>
        <v>0.68461802581097331</v>
      </c>
      <c r="F132" s="8">
        <f t="shared" si="31"/>
        <v>-0.16455167018912137</v>
      </c>
      <c r="G132" s="8">
        <f t="shared" si="32"/>
        <v>1.8029914606983466</v>
      </c>
      <c r="H132" s="3">
        <f t="shared" si="28"/>
        <v>2.3139066940144852</v>
      </c>
      <c r="I132" s="3">
        <f t="shared" si="29"/>
        <v>1.2920762273822077</v>
      </c>
      <c r="J132" s="3">
        <f t="shared" si="33"/>
        <v>206.01872448496002</v>
      </c>
      <c r="K132" s="3">
        <f t="shared" si="34"/>
        <v>19.591885201646921</v>
      </c>
    </row>
    <row r="133" spans="2:11" x14ac:dyDescent="0.25">
      <c r="B133" s="5" t="s">
        <v>16</v>
      </c>
      <c r="C133" s="4">
        <f t="shared" si="27"/>
        <v>23.163160761169017</v>
      </c>
      <c r="D133" s="6">
        <v>49.714662689999997</v>
      </c>
      <c r="E133" s="8">
        <f t="shared" si="30"/>
        <v>2.1462814683452964</v>
      </c>
      <c r="F133" s="8">
        <f t="shared" si="31"/>
        <v>0.33168667575361049</v>
      </c>
      <c r="G133" s="8">
        <f t="shared" si="32"/>
        <v>1.6964844971075039</v>
      </c>
      <c r="H133" s="3">
        <f t="shared" si="28"/>
        <v>2.207399730423643</v>
      </c>
      <c r="I133" s="3">
        <f t="shared" si="29"/>
        <v>1.1855692637913651</v>
      </c>
      <c r="J133" s="3">
        <f t="shared" si="33"/>
        <v>161.21287773133261</v>
      </c>
      <c r="K133" s="3">
        <f t="shared" si="34"/>
        <v>15.330956938188319</v>
      </c>
    </row>
    <row r="134" spans="2:11" x14ac:dyDescent="0.25">
      <c r="B134" s="5" t="s">
        <v>17</v>
      </c>
      <c r="C134" s="4">
        <f t="shared" si="27"/>
        <v>41.217711940124509</v>
      </c>
      <c r="D134" s="6">
        <v>19.595903580000002</v>
      </c>
      <c r="E134" s="8">
        <f t="shared" si="30"/>
        <v>0.47542434205145273</v>
      </c>
      <c r="F134" s="8">
        <f t="shared" si="31"/>
        <v>-0.32291858586408073</v>
      </c>
      <c r="G134" s="8">
        <f t="shared" si="32"/>
        <v>1.2921652938799777</v>
      </c>
      <c r="H134" s="3">
        <f t="shared" si="28"/>
        <v>1.8030805271961166</v>
      </c>
      <c r="I134" s="3">
        <f t="shared" si="29"/>
        <v>0.78125006056383883</v>
      </c>
      <c r="J134" s="3">
        <f t="shared" si="33"/>
        <v>63.54487462937113</v>
      </c>
      <c r="K134" s="3">
        <f t="shared" si="34"/>
        <v>6.0429647450932054</v>
      </c>
    </row>
    <row r="135" spans="2:11" x14ac:dyDescent="0.25">
      <c r="B135" s="5" t="s">
        <v>18</v>
      </c>
      <c r="C135" s="4">
        <f t="shared" si="27"/>
        <v>41.555547714694526</v>
      </c>
      <c r="D135" s="6">
        <v>46.052385209999997</v>
      </c>
      <c r="E135" s="8">
        <f t="shared" si="30"/>
        <v>1.1082126874173128</v>
      </c>
      <c r="F135" s="8">
        <f t="shared" si="31"/>
        <v>4.4623117890107096E-2</v>
      </c>
      <c r="G135" s="8">
        <f t="shared" si="32"/>
        <v>1.6632521287069122</v>
      </c>
      <c r="H135" s="3">
        <f t="shared" si="28"/>
        <v>2.1741673620230513</v>
      </c>
      <c r="I135" s="3">
        <f t="shared" si="29"/>
        <v>1.1523368953907733</v>
      </c>
      <c r="J135" s="3">
        <f t="shared" si="33"/>
        <v>149.33697916026156</v>
      </c>
      <c r="K135" s="3">
        <f t="shared" si="34"/>
        <v>14.201587546874512</v>
      </c>
    </row>
    <row r="136" spans="2:11" x14ac:dyDescent="0.25">
      <c r="B136" s="5" t="s">
        <v>19</v>
      </c>
      <c r="C136" s="4">
        <f t="shared" si="27"/>
        <v>45.443665028535101</v>
      </c>
      <c r="D136" s="6">
        <v>58.0373886</v>
      </c>
      <c r="E136" s="8">
        <f t="shared" si="30"/>
        <v>1.2771282545885552</v>
      </c>
      <c r="F136" s="8">
        <f t="shared" si="31"/>
        <v>0.10623451313120504</v>
      </c>
      <c r="G136" s="8">
        <f t="shared" si="32"/>
        <v>1.7637078630674812</v>
      </c>
      <c r="H136" s="3">
        <f t="shared" si="28"/>
        <v>2.2746230963836203</v>
      </c>
      <c r="I136" s="3">
        <f t="shared" si="29"/>
        <v>1.2527926297513423</v>
      </c>
      <c r="J136" s="3">
        <f t="shared" si="33"/>
        <v>188.20150687856636</v>
      </c>
      <c r="K136" s="3">
        <f t="shared" si="34"/>
        <v>17.897510659576035</v>
      </c>
    </row>
    <row r="137" spans="2:11" x14ac:dyDescent="0.25">
      <c r="B137" s="5" t="s">
        <v>20</v>
      </c>
      <c r="C137" s="4">
        <f t="shared" si="27"/>
        <v>80.409949854564729</v>
      </c>
      <c r="D137" s="6">
        <v>99.185768229999994</v>
      </c>
      <c r="E137" s="8">
        <f t="shared" si="30"/>
        <v>1.2335011824953823</v>
      </c>
      <c r="F137" s="8">
        <f t="shared" si="31"/>
        <v>9.113957016217418E-2</v>
      </c>
      <c r="G137" s="8">
        <f t="shared" si="32"/>
        <v>1.9964493614426344</v>
      </c>
      <c r="H137" s="3">
        <f t="shared" si="28"/>
        <v>2.5073645947587733</v>
      </c>
      <c r="I137" s="3">
        <f t="shared" si="29"/>
        <v>1.4855341281264955</v>
      </c>
      <c r="J137" s="3">
        <f t="shared" si="33"/>
        <v>321.63595730415437</v>
      </c>
      <c r="K137" s="3">
        <f t="shared" si="34"/>
        <v>30.58680597105057</v>
      </c>
    </row>
    <row r="138" spans="2:11" x14ac:dyDescent="0.25">
      <c r="B138" s="5" t="s">
        <v>21</v>
      </c>
      <c r="C138" s="4">
        <f t="shared" si="27"/>
        <v>81.396489303063248</v>
      </c>
      <c r="D138" s="6">
        <v>33.745095970000001</v>
      </c>
      <c r="E138" s="8">
        <f t="shared" si="30"/>
        <v>0.41457679881446741</v>
      </c>
      <c r="F138" s="8">
        <f t="shared" si="31"/>
        <v>-0.38239500621898764</v>
      </c>
      <c r="G138" s="8">
        <f t="shared" si="32"/>
        <v>1.5282106675991196</v>
      </c>
      <c r="H138" s="3">
        <f t="shared" si="28"/>
        <v>2.0391259009152582</v>
      </c>
      <c r="I138" s="3">
        <f t="shared" si="29"/>
        <v>1.0172954342829807</v>
      </c>
      <c r="J138" s="3">
        <f t="shared" si="33"/>
        <v>109.42735475379111</v>
      </c>
      <c r="K138" s="3">
        <f t="shared" si="34"/>
        <v>10.406278252696769</v>
      </c>
    </row>
    <row r="139" spans="2:11" x14ac:dyDescent="0.25">
      <c r="B139" s="5" t="s">
        <v>22</v>
      </c>
      <c r="C139" s="4">
        <f t="shared" si="27"/>
        <v>122.65602280636992</v>
      </c>
      <c r="D139" s="6">
        <v>150.38375049999999</v>
      </c>
      <c r="E139" s="8">
        <f t="shared" si="30"/>
        <v>1.2260608738096967</v>
      </c>
      <c r="F139" s="8">
        <f t="shared" si="31"/>
        <v>8.8512033398816775E-2</v>
      </c>
      <c r="G139" s="8">
        <f t="shared" si="32"/>
        <v>2.1772009117247682</v>
      </c>
      <c r="H139" s="3">
        <f t="shared" si="28"/>
        <v>2.6881161450409072</v>
      </c>
      <c r="I139" s="3">
        <f t="shared" si="29"/>
        <v>1.6662856784086293</v>
      </c>
      <c r="J139" s="3">
        <f t="shared" si="33"/>
        <v>487.65888915529808</v>
      </c>
      <c r="K139" s="3">
        <f t="shared" si="34"/>
        <v>46.375187487342828</v>
      </c>
    </row>
    <row r="140" spans="2:11" x14ac:dyDescent="0.25">
      <c r="B140" s="5" t="s">
        <v>23</v>
      </c>
      <c r="C140" s="4">
        <f t="shared" si="27"/>
        <v>319.03578756275527</v>
      </c>
      <c r="D140" s="6">
        <v>126.3670217</v>
      </c>
      <c r="E140" s="8">
        <f t="shared" si="30"/>
        <v>0.39609042817851031</v>
      </c>
      <c r="F140" s="8">
        <f t="shared" si="31"/>
        <v>-0.40220565251992502</v>
      </c>
      <c r="G140" s="8">
        <f t="shared" si="32"/>
        <v>2.101633749876656</v>
      </c>
      <c r="H140" s="3">
        <f t="shared" si="28"/>
        <v>2.612548983192795</v>
      </c>
      <c r="I140" s="3">
        <f t="shared" si="29"/>
        <v>1.5907185165605171</v>
      </c>
      <c r="J140" s="3">
        <f t="shared" si="33"/>
        <v>409.77832527248682</v>
      </c>
      <c r="K140" s="3">
        <f t="shared" si="34"/>
        <v>38.968933173099856</v>
      </c>
    </row>
    <row r="141" spans="2:11" x14ac:dyDescent="0.25">
      <c r="B141" s="5" t="s">
        <v>24</v>
      </c>
      <c r="C141" s="4">
        <f t="shared" si="27"/>
        <v>132.38976914661035</v>
      </c>
      <c r="D141" s="6">
        <v>127.6473065</v>
      </c>
      <c r="E141" s="8">
        <f t="shared" si="30"/>
        <v>0.96417802767403815</v>
      </c>
      <c r="F141" s="8">
        <f t="shared" si="31"/>
        <v>-1.584276972985162E-2</v>
      </c>
      <c r="G141" s="8">
        <f t="shared" si="32"/>
        <v>2.1060116551408279</v>
      </c>
      <c r="H141" s="3">
        <f t="shared" si="28"/>
        <v>2.616926888456967</v>
      </c>
      <c r="I141" s="3">
        <f t="shared" si="29"/>
        <v>1.595096421824689</v>
      </c>
      <c r="J141" s="3">
        <f t="shared" si="33"/>
        <v>413.92998568323293</v>
      </c>
      <c r="K141" s="3">
        <f t="shared" si="34"/>
        <v>39.363746092978396</v>
      </c>
    </row>
    <row r="142" spans="2:11" x14ac:dyDescent="0.25">
      <c r="B142" s="5" t="s">
        <v>25</v>
      </c>
      <c r="C142" s="4">
        <f t="shared" si="27"/>
        <v>195.16749986295585</v>
      </c>
      <c r="D142" s="6">
        <v>151.52672749999999</v>
      </c>
      <c r="E142" s="8">
        <f t="shared" si="30"/>
        <v>0.77639323968591156</v>
      </c>
      <c r="F142" s="8">
        <f t="shared" si="31"/>
        <v>-0.10991825481366799</v>
      </c>
      <c r="G142" s="8">
        <f t="shared" si="32"/>
        <v>2.1804892439405257</v>
      </c>
      <c r="H142" s="3">
        <f t="shared" si="28"/>
        <v>2.6914044772566648</v>
      </c>
      <c r="I142" s="3">
        <f t="shared" si="29"/>
        <v>1.6695740106243868</v>
      </c>
      <c r="J142" s="3">
        <f t="shared" si="33"/>
        <v>491.36529288772874</v>
      </c>
      <c r="K142" s="3">
        <f t="shared" si="34"/>
        <v>46.72765756800306</v>
      </c>
    </row>
    <row r="143" spans="2:11" x14ac:dyDescent="0.25">
      <c r="B143" s="5" t="s">
        <v>26</v>
      </c>
      <c r="C143" s="4">
        <f t="shared" si="27"/>
        <v>50.427100156317742</v>
      </c>
      <c r="D143" s="6">
        <v>59.765026890000001</v>
      </c>
      <c r="E143" s="8">
        <f t="shared" si="30"/>
        <v>1.1851767542598295</v>
      </c>
      <c r="F143" s="8">
        <f t="shared" si="31"/>
        <v>7.3783124755627094E-2</v>
      </c>
      <c r="G143" s="8">
        <f t="shared" si="32"/>
        <v>1.7764471192419506</v>
      </c>
      <c r="H143" s="3">
        <f t="shared" si="28"/>
        <v>2.2873623525580893</v>
      </c>
      <c r="I143" s="3">
        <f t="shared" si="29"/>
        <v>1.2655318859258118</v>
      </c>
      <c r="J143" s="3">
        <f t="shared" si="33"/>
        <v>193.80382871561568</v>
      </c>
      <c r="K143" s="3">
        <f t="shared" si="34"/>
        <v>18.430277992101523</v>
      </c>
    </row>
    <row r="144" spans="2:11" x14ac:dyDescent="0.25">
      <c r="B144" s="5" t="s">
        <v>27</v>
      </c>
      <c r="C144" s="4">
        <f t="shared" si="27"/>
        <v>43.976761640720156</v>
      </c>
      <c r="D144" s="6">
        <v>97.497305679999997</v>
      </c>
      <c r="E144" s="8">
        <f t="shared" si="30"/>
        <v>2.2170187626940372</v>
      </c>
      <c r="F144" s="8">
        <f t="shared" si="31"/>
        <v>0.34576936857682705</v>
      </c>
      <c r="G144" s="8">
        <f t="shared" si="32"/>
        <v>1.9889926142167269</v>
      </c>
      <c r="H144" s="3">
        <f t="shared" si="28"/>
        <v>2.4999078475328655</v>
      </c>
      <c r="I144" s="3">
        <f t="shared" si="29"/>
        <v>1.478077380900588</v>
      </c>
      <c r="J144" s="3">
        <f t="shared" si="33"/>
        <v>316.16067311436871</v>
      </c>
      <c r="K144" s="3">
        <f t="shared" si="34"/>
        <v>30.066119613240897</v>
      </c>
    </row>
    <row r="145" spans="2:11" x14ac:dyDescent="0.25">
      <c r="B145" s="5" t="s">
        <v>28</v>
      </c>
      <c r="C145" s="4">
        <f t="shared" si="27"/>
        <v>91.808147621762203</v>
      </c>
      <c r="D145" s="6">
        <v>124.82689329999999</v>
      </c>
      <c r="E145" s="8">
        <f t="shared" si="30"/>
        <v>1.3596494051298234</v>
      </c>
      <c r="F145" s="8">
        <f t="shared" si="31"/>
        <v>0.1334269370123965</v>
      </c>
      <c r="G145" s="8">
        <f t="shared" si="32"/>
        <v>2.0963081618972401</v>
      </c>
      <c r="H145" s="3">
        <f t="shared" si="28"/>
        <v>2.6072233952133788</v>
      </c>
      <c r="I145" s="3">
        <f t="shared" si="29"/>
        <v>1.5853929285811013</v>
      </c>
      <c r="J145" s="3">
        <f t="shared" si="33"/>
        <v>404.78405360281806</v>
      </c>
      <c r="K145" s="3">
        <f t="shared" si="34"/>
        <v>38.493989949067227</v>
      </c>
    </row>
    <row r="146" spans="2:11" x14ac:dyDescent="0.25">
      <c r="B146" s="5" t="s">
        <v>29</v>
      </c>
      <c r="C146" s="4">
        <f t="shared" si="27"/>
        <v>182.50955804991503</v>
      </c>
      <c r="D146" s="6">
        <v>163.69585509999999</v>
      </c>
      <c r="E146" s="8">
        <f t="shared" si="30"/>
        <v>0.89691661548613455</v>
      </c>
      <c r="F146" s="8">
        <f t="shared" si="31"/>
        <v>-4.7247930554057814E-2</v>
      </c>
      <c r="G146" s="8">
        <f t="shared" si="32"/>
        <v>2.2140376828939949</v>
      </c>
      <c r="H146" s="3">
        <f t="shared" si="28"/>
        <v>2.7249529162101336</v>
      </c>
      <c r="I146" s="3">
        <f t="shared" si="29"/>
        <v>1.7031224495778561</v>
      </c>
      <c r="J146" s="3">
        <f t="shared" si="33"/>
        <v>530.82689181496789</v>
      </c>
      <c r="K146" s="3">
        <f t="shared" si="34"/>
        <v>50.480360716654737</v>
      </c>
    </row>
    <row r="147" spans="2:11" x14ac:dyDescent="0.25">
      <c r="B147" s="5" t="s">
        <v>30</v>
      </c>
      <c r="C147" s="4">
        <f t="shared" si="27"/>
        <v>72.974326788379173</v>
      </c>
      <c r="D147" s="6">
        <v>45.773785269999998</v>
      </c>
      <c r="E147" s="8">
        <f t="shared" si="30"/>
        <v>0.6272587536537475</v>
      </c>
      <c r="F147" s="8">
        <f t="shared" si="31"/>
        <v>-0.20255326921304573</v>
      </c>
      <c r="G147" s="8">
        <f t="shared" si="32"/>
        <v>1.6606168279592954</v>
      </c>
      <c r="H147" s="3">
        <f t="shared" si="28"/>
        <v>2.1715320612754345</v>
      </c>
      <c r="I147" s="3">
        <f t="shared" si="29"/>
        <v>1.1497015946431566</v>
      </c>
      <c r="J147" s="3">
        <f t="shared" si="33"/>
        <v>148.4335455325762</v>
      </c>
      <c r="K147" s="3">
        <f t="shared" si="34"/>
        <v>14.115673181735289</v>
      </c>
    </row>
    <row r="148" spans="2:11" x14ac:dyDescent="0.25">
      <c r="B148" s="5" t="s">
        <v>31</v>
      </c>
      <c r="C148" s="4">
        <f t="shared" si="27"/>
        <v>72.17052924244939</v>
      </c>
      <c r="D148" s="6">
        <v>40.368555899999997</v>
      </c>
      <c r="E148" s="8">
        <f t="shared" si="30"/>
        <v>0.55934958942016388</v>
      </c>
      <c r="F148" s="8">
        <f t="shared" si="31"/>
        <v>-0.25231667636842792</v>
      </c>
      <c r="G148" s="8">
        <f t="shared" si="32"/>
        <v>1.6060432137184906</v>
      </c>
      <c r="H148" s="3">
        <f t="shared" si="28"/>
        <v>2.1169584470346292</v>
      </c>
      <c r="I148" s="3">
        <f t="shared" si="29"/>
        <v>1.0951279804023517</v>
      </c>
      <c r="J148" s="3">
        <f t="shared" si="33"/>
        <v>130.9056667462057</v>
      </c>
      <c r="K148" s="3">
        <f t="shared" si="34"/>
        <v>12.448814065558095</v>
      </c>
    </row>
    <row r="149" spans="2:11" x14ac:dyDescent="0.25">
      <c r="B149" s="5" t="s">
        <v>32</v>
      </c>
      <c r="C149" s="4">
        <f t="shared" si="27"/>
        <v>54.00550206456434</v>
      </c>
      <c r="D149" s="6">
        <v>45.179256979999998</v>
      </c>
      <c r="E149" s="8">
        <f t="shared" si="30"/>
        <v>0.83656766908652302</v>
      </c>
      <c r="F149" s="8">
        <f t="shared" si="31"/>
        <v>-7.7498923652877263E-2</v>
      </c>
      <c r="G149" s="8">
        <f t="shared" si="32"/>
        <v>1.6549390842173806</v>
      </c>
      <c r="H149" s="3">
        <f t="shared" si="28"/>
        <v>2.1658543175335194</v>
      </c>
      <c r="I149" s="3">
        <f t="shared" si="29"/>
        <v>1.1440238509012417</v>
      </c>
      <c r="J149" s="3">
        <f t="shared" si="33"/>
        <v>146.50563108364909</v>
      </c>
      <c r="K149" s="3">
        <f t="shared" si="34"/>
        <v>13.932333154480952</v>
      </c>
    </row>
    <row r="150" spans="2:11" s="2" customFormat="1" x14ac:dyDescent="0.25">
      <c r="B150" s="111" t="s">
        <v>85</v>
      </c>
      <c r="C150" s="111"/>
      <c r="D150" s="6">
        <v>10</v>
      </c>
      <c r="E150" s="8"/>
      <c r="F150" s="8"/>
      <c r="G150" s="8">
        <f t="shared" si="32"/>
        <v>1</v>
      </c>
      <c r="H150" s="3">
        <f t="shared" si="28"/>
        <v>1.5109152333161389</v>
      </c>
      <c r="I150" s="3">
        <f t="shared" si="29"/>
        <v>0.48908476668386114</v>
      </c>
      <c r="J150" s="3">
        <f t="shared" si="33"/>
        <v>32.427631810878253</v>
      </c>
      <c r="K150" s="3">
        <f t="shared" si="34"/>
        <v>3.0837897933223055</v>
      </c>
    </row>
    <row r="151" spans="2:11" s="2" customFormat="1" x14ac:dyDescent="0.25">
      <c r="B151" s="111"/>
      <c r="C151" s="111"/>
      <c r="D151" s="6">
        <v>1200</v>
      </c>
      <c r="E151" s="8"/>
      <c r="F151" s="8"/>
      <c r="G151" s="8">
        <f t="shared" si="32"/>
        <v>3.0791812460476247</v>
      </c>
      <c r="H151" s="3">
        <f t="shared" si="28"/>
        <v>3.5900964793637637</v>
      </c>
      <c r="I151" s="3">
        <f t="shared" si="29"/>
        <v>2.5682660127314856</v>
      </c>
      <c r="J151" s="3">
        <f t="shared" si="33"/>
        <v>3891.3158173053898</v>
      </c>
      <c r="K151" s="3">
        <f t="shared" si="34"/>
        <v>370.05477519867651</v>
      </c>
    </row>
    <row r="152" spans="2:11" x14ac:dyDescent="0.25">
      <c r="B152" s="4" t="s">
        <v>83</v>
      </c>
      <c r="C152" s="21">
        <f>Q65</f>
        <v>24.327662236612944</v>
      </c>
      <c r="G152" s="9">
        <f>LOG(C152)</f>
        <v>1.3861003774668268</v>
      </c>
      <c r="H152" s="3">
        <f t="shared" si="28"/>
        <v>1.8970156107829657</v>
      </c>
      <c r="I152" s="3">
        <f t="shared" si="29"/>
        <v>0.87518514415068793</v>
      </c>
      <c r="J152" s="3">
        <f t="shared" si="33"/>
        <v>78.888847382829141</v>
      </c>
      <c r="K152" s="3">
        <f t="shared" si="34"/>
        <v>7.5021396500659492</v>
      </c>
    </row>
    <row r="153" spans="2:11" x14ac:dyDescent="0.25">
      <c r="F153" s="5" t="s">
        <v>62</v>
      </c>
      <c r="G153" s="9">
        <f>AVERAGE(F121:F149)</f>
        <v>-4.8367861293128556E-4</v>
      </c>
      <c r="H153" s="5" t="s">
        <v>63</v>
      </c>
      <c r="I153" s="9">
        <f>STDEV(F121:F149)</f>
        <v>0.2606710374061933</v>
      </c>
      <c r="J153" s="2" t="s">
        <v>84</v>
      </c>
      <c r="K153" s="9">
        <f>1.96*I153</f>
        <v>0.51091523331613886</v>
      </c>
    </row>
    <row r="156" spans="2:11" x14ac:dyDescent="0.25">
      <c r="B156" s="110" t="s">
        <v>54</v>
      </c>
      <c r="C156" s="110"/>
      <c r="D156" s="110"/>
      <c r="E156" s="110"/>
      <c r="H156" s="2"/>
      <c r="I156" s="2"/>
      <c r="J156" s="2"/>
      <c r="K156" s="2"/>
    </row>
    <row r="157" spans="2:11" x14ac:dyDescent="0.25">
      <c r="B157" s="111" t="s">
        <v>33</v>
      </c>
      <c r="C157" s="51" t="s">
        <v>105</v>
      </c>
      <c r="D157" s="5" t="s">
        <v>58</v>
      </c>
      <c r="E157" s="5" t="s">
        <v>60</v>
      </c>
      <c r="F157" s="5" t="s">
        <v>59</v>
      </c>
      <c r="G157" s="5" t="s">
        <v>66</v>
      </c>
      <c r="H157" s="5" t="s">
        <v>64</v>
      </c>
      <c r="I157" s="5" t="s">
        <v>65</v>
      </c>
      <c r="J157" s="5" t="s">
        <v>64</v>
      </c>
      <c r="K157" s="5" t="s">
        <v>65</v>
      </c>
    </row>
    <row r="158" spans="2:11" x14ac:dyDescent="0.25">
      <c r="B158" s="111"/>
      <c r="C158" s="5" t="s">
        <v>57</v>
      </c>
      <c r="D158" s="5" t="s">
        <v>57</v>
      </c>
      <c r="E158" s="5" t="s">
        <v>61</v>
      </c>
      <c r="F158" s="5"/>
      <c r="G158" s="5"/>
      <c r="H158" s="110" t="s">
        <v>67</v>
      </c>
      <c r="I158" s="110"/>
      <c r="J158" s="2"/>
      <c r="K158" s="2"/>
    </row>
    <row r="159" spans="2:11" x14ac:dyDescent="0.25">
      <c r="B159" s="5" t="s">
        <v>4</v>
      </c>
      <c r="C159" s="4">
        <f t="shared" ref="C159:C187" si="35">$S$15*(P20^$T$15)*(T20^$U$15)*(S20^$V$15)*(R20^$W$15)*(Q20^$X$15)</f>
        <v>62.332304590785178</v>
      </c>
      <c r="D159" s="6">
        <v>133.3445475</v>
      </c>
      <c r="E159" s="8">
        <f>D159/C159</f>
        <v>2.1392526455649907</v>
      </c>
      <c r="F159" s="8">
        <f>LOG(E159)</f>
        <v>0.3302620777437506</v>
      </c>
      <c r="G159" s="8">
        <f>LOG(D159)</f>
        <v>2.124975261952585</v>
      </c>
      <c r="H159" s="3">
        <f t="shared" ref="H159:H190" si="36">G159+$K$191</f>
        <v>2.6303435529091366</v>
      </c>
      <c r="I159" s="3">
        <f t="shared" ref="I159:I190" si="37">G159-$K$191</f>
        <v>1.6196069709960335</v>
      </c>
      <c r="J159" s="3">
        <f>10^H159</f>
        <v>426.91710222023818</v>
      </c>
      <c r="K159" s="3">
        <f>10^I159</f>
        <v>41.649229453466603</v>
      </c>
    </row>
    <row r="160" spans="2:11" x14ac:dyDescent="0.25">
      <c r="B160" s="5" t="s">
        <v>5</v>
      </c>
      <c r="C160" s="4">
        <f t="shared" si="35"/>
        <v>303.22602944545378</v>
      </c>
      <c r="D160" s="6">
        <v>530.07671349999998</v>
      </c>
      <c r="E160" s="8">
        <f t="shared" ref="E160:E187" si="38">D160/C160</f>
        <v>1.7481240461757706</v>
      </c>
      <c r="F160" s="8">
        <f t="shared" ref="F160:F187" si="39">LOG(E160)</f>
        <v>0.24257224675273506</v>
      </c>
      <c r="G160" s="8">
        <f t="shared" ref="G160:G189" si="40">LOG(D160)</f>
        <v>2.7243387259004725</v>
      </c>
      <c r="H160" s="3">
        <f t="shared" si="36"/>
        <v>3.2297070168570241</v>
      </c>
      <c r="I160" s="3">
        <f t="shared" si="37"/>
        <v>2.218970434943921</v>
      </c>
      <c r="J160" s="3">
        <f t="shared" ref="J160:J190" si="41">10^H160</f>
        <v>1697.0983720339032</v>
      </c>
      <c r="K160" s="3">
        <f t="shared" ref="K160:K190" si="42">10^I160</f>
        <v>165.56572490150739</v>
      </c>
    </row>
    <row r="161" spans="2:11" x14ac:dyDescent="0.25">
      <c r="B161" s="5" t="s">
        <v>6</v>
      </c>
      <c r="C161" s="4">
        <f t="shared" si="35"/>
        <v>162.18482366635465</v>
      </c>
      <c r="D161" s="6">
        <v>1102.0513739999999</v>
      </c>
      <c r="E161" s="8">
        <f t="shared" si="38"/>
        <v>6.795033894583943</v>
      </c>
      <c r="F161" s="8">
        <f t="shared" si="39"/>
        <v>0.83219162739582131</v>
      </c>
      <c r="G161" s="8">
        <f t="shared" si="40"/>
        <v>3.0422018403639171</v>
      </c>
      <c r="H161" s="3">
        <f t="shared" si="36"/>
        <v>3.5475701313204686</v>
      </c>
      <c r="I161" s="3">
        <f t="shared" si="37"/>
        <v>2.5368335494073655</v>
      </c>
      <c r="J161" s="3">
        <f t="shared" si="41"/>
        <v>3528.3375879010914</v>
      </c>
      <c r="K161" s="3">
        <f t="shared" si="42"/>
        <v>344.21797820592667</v>
      </c>
    </row>
    <row r="162" spans="2:11" x14ac:dyDescent="0.25">
      <c r="B162" s="5" t="s">
        <v>7</v>
      </c>
      <c r="C162" s="4">
        <f t="shared" si="35"/>
        <v>568.51338448853153</v>
      </c>
      <c r="D162" s="6">
        <v>308.34193260000001</v>
      </c>
      <c r="E162" s="8">
        <f t="shared" si="38"/>
        <v>0.5423653004711626</v>
      </c>
      <c r="F162" s="8">
        <f t="shared" si="39"/>
        <v>-0.2657081036099419</v>
      </c>
      <c r="G162" s="8">
        <f t="shared" si="40"/>
        <v>2.4890325901122927</v>
      </c>
      <c r="H162" s="3">
        <f t="shared" si="36"/>
        <v>2.9944008810688443</v>
      </c>
      <c r="I162" s="3">
        <f t="shared" si="37"/>
        <v>1.9836642991557412</v>
      </c>
      <c r="J162" s="3">
        <f t="shared" si="41"/>
        <v>987.1903038148605</v>
      </c>
      <c r="K162" s="3">
        <f t="shared" si="42"/>
        <v>96.308429116554208</v>
      </c>
    </row>
    <row r="163" spans="2:11" x14ac:dyDescent="0.25">
      <c r="B163" s="5" t="s">
        <v>8</v>
      </c>
      <c r="C163" s="4">
        <f t="shared" si="35"/>
        <v>237.34913588841872</v>
      </c>
      <c r="D163" s="6">
        <v>453.70612870000002</v>
      </c>
      <c r="E163" s="8">
        <f t="shared" si="38"/>
        <v>1.9115558478936021</v>
      </c>
      <c r="F163" s="8">
        <f t="shared" si="39"/>
        <v>0.28138699086025531</v>
      </c>
      <c r="G163" s="8">
        <f t="shared" si="40"/>
        <v>2.6567746457915051</v>
      </c>
      <c r="H163" s="3">
        <f t="shared" si="36"/>
        <v>3.1621429367480567</v>
      </c>
      <c r="I163" s="3">
        <f t="shared" si="37"/>
        <v>2.1514063548349536</v>
      </c>
      <c r="J163" s="3">
        <f t="shared" si="41"/>
        <v>1452.5896210654325</v>
      </c>
      <c r="K163" s="3">
        <f t="shared" si="42"/>
        <v>141.71191108260609</v>
      </c>
    </row>
    <row r="164" spans="2:11" x14ac:dyDescent="0.25">
      <c r="B164" s="5" t="s">
        <v>9</v>
      </c>
      <c r="C164" s="4">
        <f t="shared" si="35"/>
        <v>40.500235514871328</v>
      </c>
      <c r="D164" s="6">
        <v>24.811796470000001</v>
      </c>
      <c r="E164" s="8">
        <f t="shared" si="38"/>
        <v>0.61263338730189187</v>
      </c>
      <c r="F164" s="8">
        <f t="shared" si="39"/>
        <v>-0.21279933869846071</v>
      </c>
      <c r="G164" s="8">
        <f t="shared" si="40"/>
        <v>1.3946582100103222</v>
      </c>
      <c r="H164" s="3">
        <f t="shared" si="36"/>
        <v>1.9000265009668738</v>
      </c>
      <c r="I164" s="3">
        <f t="shared" si="37"/>
        <v>0.88928991905377053</v>
      </c>
      <c r="J164" s="3">
        <f t="shared" si="41"/>
        <v>79.437670669291819</v>
      </c>
      <c r="K164" s="3">
        <f t="shared" si="42"/>
        <v>7.749789726735866</v>
      </c>
    </row>
    <row r="165" spans="2:11" x14ac:dyDescent="0.25">
      <c r="B165" s="5" t="s">
        <v>10</v>
      </c>
      <c r="C165" s="4">
        <f t="shared" si="35"/>
        <v>82.797690566517645</v>
      </c>
      <c r="D165" s="6">
        <v>90.272551899999996</v>
      </c>
      <c r="E165" s="8">
        <f t="shared" si="38"/>
        <v>1.0902786210863844</v>
      </c>
      <c r="F165" s="8">
        <f t="shared" si="39"/>
        <v>3.7537496232169537E-2</v>
      </c>
      <c r="G165" s="8">
        <f t="shared" si="40"/>
        <v>1.9555557196329276</v>
      </c>
      <c r="H165" s="3">
        <f t="shared" si="36"/>
        <v>2.4609240105894794</v>
      </c>
      <c r="I165" s="3">
        <f t="shared" si="37"/>
        <v>1.4501874286763758</v>
      </c>
      <c r="J165" s="3">
        <f t="shared" si="41"/>
        <v>289.01741383294336</v>
      </c>
      <c r="K165" s="3">
        <f t="shared" si="42"/>
        <v>28.195995246322848</v>
      </c>
    </row>
    <row r="166" spans="2:11" x14ac:dyDescent="0.25">
      <c r="B166" s="5" t="s">
        <v>11</v>
      </c>
      <c r="C166" s="4">
        <f t="shared" si="35"/>
        <v>107.8175965854817</v>
      </c>
      <c r="D166" s="6">
        <v>74.676912610000002</v>
      </c>
      <c r="E166" s="8">
        <f t="shared" si="38"/>
        <v>0.69262267918199638</v>
      </c>
      <c r="F166" s="8">
        <f t="shared" si="39"/>
        <v>-0.15950329204971325</v>
      </c>
      <c r="G166" s="8">
        <f t="shared" si="40"/>
        <v>1.8731863544811462</v>
      </c>
      <c r="H166" s="3">
        <f t="shared" si="36"/>
        <v>2.3785546454376978</v>
      </c>
      <c r="I166" s="3">
        <f t="shared" si="37"/>
        <v>1.3678180635245947</v>
      </c>
      <c r="J166" s="3">
        <f t="shared" si="41"/>
        <v>239.08627485660912</v>
      </c>
      <c r="K166" s="3">
        <f t="shared" si="42"/>
        <v>23.324807249208039</v>
      </c>
    </row>
    <row r="167" spans="2:11" x14ac:dyDescent="0.25">
      <c r="B167" s="5" t="s">
        <v>12</v>
      </c>
      <c r="C167" s="4">
        <f t="shared" si="35"/>
        <v>56.92312648469612</v>
      </c>
      <c r="D167" s="6">
        <v>38.428147240000001</v>
      </c>
      <c r="E167" s="8">
        <f t="shared" si="38"/>
        <v>0.67508848535105459</v>
      </c>
      <c r="F167" s="8">
        <f t="shared" si="39"/>
        <v>-0.17063929949324971</v>
      </c>
      <c r="G167" s="8">
        <f t="shared" si="40"/>
        <v>1.5846494460609826</v>
      </c>
      <c r="H167" s="3">
        <f t="shared" si="36"/>
        <v>2.0900177370175341</v>
      </c>
      <c r="I167" s="3">
        <f t="shared" si="37"/>
        <v>1.079281155104431</v>
      </c>
      <c r="J167" s="3">
        <f t="shared" si="41"/>
        <v>123.03190172356661</v>
      </c>
      <c r="K167" s="3">
        <f t="shared" si="42"/>
        <v>12.002760906818182</v>
      </c>
    </row>
    <row r="168" spans="2:11" x14ac:dyDescent="0.25">
      <c r="B168" s="5" t="s">
        <v>13</v>
      </c>
      <c r="C168" s="4">
        <f t="shared" si="35"/>
        <v>80.210969022096052</v>
      </c>
      <c r="D168" s="6">
        <v>57.249858080000003</v>
      </c>
      <c r="E168" s="8">
        <f t="shared" si="38"/>
        <v>0.71374101046241123</v>
      </c>
      <c r="F168" s="8">
        <f t="shared" si="39"/>
        <v>-0.14645934863212789</v>
      </c>
      <c r="G168" s="8">
        <f t="shared" si="40"/>
        <v>1.7577744144154319</v>
      </c>
      <c r="H168" s="3">
        <f t="shared" si="36"/>
        <v>2.2631427053719837</v>
      </c>
      <c r="I168" s="3">
        <f t="shared" si="37"/>
        <v>1.2524061234588801</v>
      </c>
      <c r="J168" s="3">
        <f t="shared" si="41"/>
        <v>183.29166038104043</v>
      </c>
      <c r="K168" s="3">
        <f t="shared" si="42"/>
        <v>17.881589611696114</v>
      </c>
    </row>
    <row r="169" spans="2:11" x14ac:dyDescent="0.25">
      <c r="B169" s="5" t="s">
        <v>14</v>
      </c>
      <c r="C169" s="4">
        <f t="shared" si="35"/>
        <v>52.448049599772943</v>
      </c>
      <c r="D169" s="6">
        <v>47.853358710000002</v>
      </c>
      <c r="E169" s="8">
        <f t="shared" si="38"/>
        <v>0.91239539077554499</v>
      </c>
      <c r="F169" s="8">
        <f t="shared" si="39"/>
        <v>-3.9816917351770988E-2</v>
      </c>
      <c r="G169" s="8">
        <f t="shared" si="40"/>
        <v>1.6799124252482418</v>
      </c>
      <c r="H169" s="3">
        <f t="shared" si="36"/>
        <v>2.1852807162047934</v>
      </c>
      <c r="I169" s="3">
        <f t="shared" si="37"/>
        <v>1.1745441342916902</v>
      </c>
      <c r="J169" s="3">
        <f t="shared" si="41"/>
        <v>153.20774351106331</v>
      </c>
      <c r="K169" s="3">
        <f t="shared" si="42"/>
        <v>14.946659270277513</v>
      </c>
    </row>
    <row r="170" spans="2:11" x14ac:dyDescent="0.25">
      <c r="B170" s="5" t="s">
        <v>15</v>
      </c>
      <c r="C170" s="4">
        <f t="shared" si="35"/>
        <v>86.466833934863175</v>
      </c>
      <c r="D170" s="6">
        <v>63.531843979999998</v>
      </c>
      <c r="E170" s="8">
        <f t="shared" si="38"/>
        <v>0.73475390607986801</v>
      </c>
      <c r="F170" s="8">
        <f t="shared" si="39"/>
        <v>-0.13385809646402844</v>
      </c>
      <c r="G170" s="8">
        <f t="shared" si="40"/>
        <v>1.8029914606983466</v>
      </c>
      <c r="H170" s="3">
        <f t="shared" si="36"/>
        <v>2.3083597516548982</v>
      </c>
      <c r="I170" s="3">
        <f t="shared" si="37"/>
        <v>1.297623169741795</v>
      </c>
      <c r="J170" s="3">
        <f t="shared" si="41"/>
        <v>203.40412292186068</v>
      </c>
      <c r="K170" s="3">
        <f t="shared" si="42"/>
        <v>19.843723625256303</v>
      </c>
    </row>
    <row r="171" spans="2:11" x14ac:dyDescent="0.25">
      <c r="B171" s="5" t="s">
        <v>16</v>
      </c>
      <c r="C171" s="4">
        <f t="shared" si="35"/>
        <v>23.154649033371818</v>
      </c>
      <c r="D171" s="6">
        <v>49.714662689999997</v>
      </c>
      <c r="E171" s="8">
        <f t="shared" si="38"/>
        <v>2.147070448718456</v>
      </c>
      <c r="F171" s="8">
        <f t="shared" si="39"/>
        <v>0.33184629454697728</v>
      </c>
      <c r="G171" s="8">
        <f t="shared" si="40"/>
        <v>1.6964844971075039</v>
      </c>
      <c r="H171" s="3">
        <f t="shared" si="36"/>
        <v>2.2018527880640555</v>
      </c>
      <c r="I171" s="3">
        <f t="shared" si="37"/>
        <v>1.1911162061509524</v>
      </c>
      <c r="J171" s="3">
        <f t="shared" si="41"/>
        <v>159.16691106902135</v>
      </c>
      <c r="K171" s="3">
        <f t="shared" si="42"/>
        <v>15.52802444792507</v>
      </c>
    </row>
    <row r="172" spans="2:11" x14ac:dyDescent="0.25">
      <c r="B172" s="5" t="s">
        <v>17</v>
      </c>
      <c r="C172" s="4">
        <f t="shared" si="35"/>
        <v>42.8707824398779</v>
      </c>
      <c r="D172" s="6">
        <v>19.595903580000002</v>
      </c>
      <c r="E172" s="8">
        <f t="shared" si="38"/>
        <v>0.45709227741484187</v>
      </c>
      <c r="F172" s="8">
        <f t="shared" si="39"/>
        <v>-0.33999611606453484</v>
      </c>
      <c r="G172" s="8">
        <f t="shared" si="40"/>
        <v>1.2921652938799777</v>
      </c>
      <c r="H172" s="3">
        <f t="shared" si="36"/>
        <v>1.7975335848365295</v>
      </c>
      <c r="I172" s="3">
        <f t="shared" si="37"/>
        <v>0.78679700292342603</v>
      </c>
      <c r="J172" s="3">
        <f t="shared" si="41"/>
        <v>62.73842109487682</v>
      </c>
      <c r="K172" s="3">
        <f t="shared" si="42"/>
        <v>6.1206423498600708</v>
      </c>
    </row>
    <row r="173" spans="2:11" x14ac:dyDescent="0.25">
      <c r="B173" s="5" t="s">
        <v>18</v>
      </c>
      <c r="C173" s="4">
        <f t="shared" si="35"/>
        <v>43.64717588846684</v>
      </c>
      <c r="D173" s="6">
        <v>46.052385209999997</v>
      </c>
      <c r="E173" s="8">
        <f t="shared" si="38"/>
        <v>1.0551057261454733</v>
      </c>
      <c r="F173" s="8">
        <f t="shared" si="39"/>
        <v>2.3295979994839761E-2</v>
      </c>
      <c r="G173" s="8">
        <f t="shared" si="40"/>
        <v>1.6632521287069122</v>
      </c>
      <c r="H173" s="3">
        <f t="shared" si="36"/>
        <v>2.1686204196634637</v>
      </c>
      <c r="I173" s="3">
        <f t="shared" si="37"/>
        <v>1.1578838377503606</v>
      </c>
      <c r="J173" s="3">
        <f t="shared" si="41"/>
        <v>147.44173056032429</v>
      </c>
      <c r="K173" s="3">
        <f t="shared" si="42"/>
        <v>14.384137892782769</v>
      </c>
    </row>
    <row r="174" spans="2:11" x14ac:dyDescent="0.25">
      <c r="B174" s="5" t="s">
        <v>19</v>
      </c>
      <c r="C174" s="4">
        <f t="shared" si="35"/>
        <v>46.914718912615228</v>
      </c>
      <c r="D174" s="6">
        <v>58.0373886</v>
      </c>
      <c r="E174" s="8">
        <f t="shared" si="38"/>
        <v>1.2370827310742754</v>
      </c>
      <c r="F174" s="8">
        <f t="shared" si="39"/>
        <v>9.239874445337154E-2</v>
      </c>
      <c r="G174" s="8">
        <f t="shared" si="40"/>
        <v>1.7637078630674812</v>
      </c>
      <c r="H174" s="3">
        <f t="shared" si="36"/>
        <v>2.2690761540240327</v>
      </c>
      <c r="I174" s="3">
        <f t="shared" si="37"/>
        <v>1.2583395721109296</v>
      </c>
      <c r="J174" s="3">
        <f t="shared" si="41"/>
        <v>185.81302517481566</v>
      </c>
      <c r="K174" s="3">
        <f t="shared" si="42"/>
        <v>18.127569218242002</v>
      </c>
    </row>
    <row r="175" spans="2:11" x14ac:dyDescent="0.25">
      <c r="B175" s="5" t="s">
        <v>20</v>
      </c>
      <c r="C175" s="4">
        <f t="shared" si="35"/>
        <v>84.394075853934226</v>
      </c>
      <c r="D175" s="6">
        <v>99.185768229999994</v>
      </c>
      <c r="E175" s="8">
        <f t="shared" si="38"/>
        <v>1.1752693210559781</v>
      </c>
      <c r="F175" s="8">
        <f t="shared" si="39"/>
        <v>7.0137399582921575E-2</v>
      </c>
      <c r="G175" s="8">
        <f t="shared" si="40"/>
        <v>1.9964493614426344</v>
      </c>
      <c r="H175" s="3">
        <f t="shared" si="36"/>
        <v>2.5018176523991862</v>
      </c>
      <c r="I175" s="3">
        <f t="shared" si="37"/>
        <v>1.4910810704860826</v>
      </c>
      <c r="J175" s="3">
        <f t="shared" si="41"/>
        <v>317.55404737670125</v>
      </c>
      <c r="K175" s="3">
        <f t="shared" si="42"/>
        <v>30.979975536904703</v>
      </c>
    </row>
    <row r="176" spans="2:11" x14ac:dyDescent="0.25">
      <c r="B176" s="5" t="s">
        <v>21</v>
      </c>
      <c r="C176" s="4">
        <f t="shared" si="35"/>
        <v>79.811785102188807</v>
      </c>
      <c r="D176" s="6">
        <v>33.745095970000001</v>
      </c>
      <c r="E176" s="8">
        <f t="shared" si="38"/>
        <v>0.42280843520532352</v>
      </c>
      <c r="F176" s="8">
        <f t="shared" si="39"/>
        <v>-0.37385635692141678</v>
      </c>
      <c r="G176" s="8">
        <f t="shared" si="40"/>
        <v>1.5282106675991196</v>
      </c>
      <c r="H176" s="3">
        <f t="shared" si="36"/>
        <v>2.0335789585556712</v>
      </c>
      <c r="I176" s="3">
        <f t="shared" si="37"/>
        <v>1.0228423766425681</v>
      </c>
      <c r="J176" s="3">
        <f t="shared" si="41"/>
        <v>108.03860267069598</v>
      </c>
      <c r="K176" s="3">
        <f t="shared" si="42"/>
        <v>10.540042853899084</v>
      </c>
    </row>
    <row r="177" spans="2:11" x14ac:dyDescent="0.25">
      <c r="B177" s="5" t="s">
        <v>22</v>
      </c>
      <c r="C177" s="4">
        <f t="shared" si="35"/>
        <v>119.27255628108986</v>
      </c>
      <c r="D177" s="6">
        <v>150.38375049999999</v>
      </c>
      <c r="E177" s="8">
        <f t="shared" si="38"/>
        <v>1.2608411791358802</v>
      </c>
      <c r="F177" s="8">
        <f t="shared" si="39"/>
        <v>0.10066038445658025</v>
      </c>
      <c r="G177" s="8">
        <f t="shared" si="40"/>
        <v>2.1772009117247682</v>
      </c>
      <c r="H177" s="3">
        <f t="shared" si="36"/>
        <v>2.6825692026813197</v>
      </c>
      <c r="I177" s="3">
        <f t="shared" si="37"/>
        <v>1.6718326207682166</v>
      </c>
      <c r="J177" s="3">
        <f t="shared" si="41"/>
        <v>481.46996775005999</v>
      </c>
      <c r="K177" s="3">
        <f t="shared" si="42"/>
        <v>46.971304399584653</v>
      </c>
    </row>
    <row r="178" spans="2:11" x14ac:dyDescent="0.25">
      <c r="B178" s="5" t="s">
        <v>23</v>
      </c>
      <c r="C178" s="4">
        <f t="shared" si="35"/>
        <v>260.14141442300007</v>
      </c>
      <c r="D178" s="6">
        <v>126.3670217</v>
      </c>
      <c r="E178" s="8">
        <f t="shared" si="38"/>
        <v>0.48576279936158989</v>
      </c>
      <c r="F178" s="8">
        <f t="shared" si="39"/>
        <v>-0.31357574735426991</v>
      </c>
      <c r="G178" s="8">
        <f t="shared" si="40"/>
        <v>2.101633749876656</v>
      </c>
      <c r="H178" s="3">
        <f t="shared" si="36"/>
        <v>2.6070020408332075</v>
      </c>
      <c r="I178" s="3">
        <f t="shared" si="37"/>
        <v>1.5962654589201044</v>
      </c>
      <c r="J178" s="3">
        <f t="shared" si="41"/>
        <v>404.57779288175237</v>
      </c>
      <c r="K178" s="3">
        <f t="shared" si="42"/>
        <v>39.469848455067108</v>
      </c>
    </row>
    <row r="179" spans="2:11" x14ac:dyDescent="0.25">
      <c r="B179" s="5" t="s">
        <v>24</v>
      </c>
      <c r="C179" s="4">
        <f t="shared" si="35"/>
        <v>128.56248894229165</v>
      </c>
      <c r="D179" s="6">
        <v>127.6473065</v>
      </c>
      <c r="E179" s="8">
        <f t="shared" si="38"/>
        <v>0.99288141937962593</v>
      </c>
      <c r="F179" s="8">
        <f t="shared" si="39"/>
        <v>-3.102616544140084E-3</v>
      </c>
      <c r="G179" s="8">
        <f t="shared" si="40"/>
        <v>2.1060116551408279</v>
      </c>
      <c r="H179" s="3">
        <f t="shared" si="36"/>
        <v>2.6113799460973794</v>
      </c>
      <c r="I179" s="3">
        <f t="shared" si="37"/>
        <v>1.6006433641842763</v>
      </c>
      <c r="J179" s="3">
        <f t="shared" si="41"/>
        <v>408.67676420888955</v>
      </c>
      <c r="K179" s="3">
        <f t="shared" si="42"/>
        <v>39.869736387500069</v>
      </c>
    </row>
    <row r="180" spans="2:11" x14ac:dyDescent="0.25">
      <c r="B180" s="5" t="s">
        <v>25</v>
      </c>
      <c r="C180" s="4">
        <f t="shared" si="35"/>
        <v>199.48516481498723</v>
      </c>
      <c r="D180" s="6">
        <v>151.52672749999999</v>
      </c>
      <c r="E180" s="8">
        <f t="shared" si="38"/>
        <v>0.75958895309600416</v>
      </c>
      <c r="F180" s="8">
        <f t="shared" si="39"/>
        <v>-0.11942135994915092</v>
      </c>
      <c r="G180" s="8">
        <f t="shared" si="40"/>
        <v>2.1804892439405257</v>
      </c>
      <c r="H180" s="3">
        <f t="shared" si="36"/>
        <v>2.6858575348970772</v>
      </c>
      <c r="I180" s="3">
        <f t="shared" si="37"/>
        <v>1.6751209529839741</v>
      </c>
      <c r="J180" s="3">
        <f t="shared" si="41"/>
        <v>485.12933319013825</v>
      </c>
      <c r="K180" s="3">
        <f t="shared" si="42"/>
        <v>47.328305208583146</v>
      </c>
    </row>
    <row r="181" spans="2:11" x14ac:dyDescent="0.25">
      <c r="B181" s="5" t="s">
        <v>26</v>
      </c>
      <c r="C181" s="4">
        <f t="shared" si="35"/>
        <v>49.192430418835222</v>
      </c>
      <c r="D181" s="6">
        <v>59.765026890000001</v>
      </c>
      <c r="E181" s="8">
        <f t="shared" si="38"/>
        <v>1.2149232388224642</v>
      </c>
      <c r="F181" s="8">
        <f t="shared" si="39"/>
        <v>8.4548839243835217E-2</v>
      </c>
      <c r="G181" s="8">
        <f t="shared" si="40"/>
        <v>1.7764471192419506</v>
      </c>
      <c r="H181" s="3">
        <f t="shared" si="36"/>
        <v>2.2818154101985022</v>
      </c>
      <c r="I181" s="3">
        <f t="shared" si="37"/>
        <v>1.2710788282853991</v>
      </c>
      <c r="J181" s="3">
        <f t="shared" si="41"/>
        <v>191.34424745783792</v>
      </c>
      <c r="K181" s="3">
        <f t="shared" si="42"/>
        <v>18.667184859839978</v>
      </c>
    </row>
    <row r="182" spans="2:11" x14ac:dyDescent="0.25">
      <c r="B182" s="5" t="s">
        <v>27</v>
      </c>
      <c r="C182" s="4">
        <f t="shared" si="35"/>
        <v>51.514842126018145</v>
      </c>
      <c r="D182" s="6">
        <v>97.497305679999997</v>
      </c>
      <c r="E182" s="8">
        <f t="shared" si="38"/>
        <v>1.8926061239108001</v>
      </c>
      <c r="F182" s="8">
        <f t="shared" si="39"/>
        <v>0.27706024100522086</v>
      </c>
      <c r="G182" s="8">
        <f t="shared" si="40"/>
        <v>1.9889926142167269</v>
      </c>
      <c r="H182" s="3">
        <f t="shared" si="36"/>
        <v>2.4943609051732785</v>
      </c>
      <c r="I182" s="3">
        <f t="shared" si="37"/>
        <v>1.4836243232601753</v>
      </c>
      <c r="J182" s="3">
        <f t="shared" si="41"/>
        <v>312.14825049510472</v>
      </c>
      <c r="K182" s="3">
        <f t="shared" si="42"/>
        <v>30.452596161542299</v>
      </c>
    </row>
    <row r="183" spans="2:11" x14ac:dyDescent="0.25">
      <c r="B183" s="5" t="s">
        <v>28</v>
      </c>
      <c r="C183" s="4">
        <f t="shared" si="35"/>
        <v>92.762039786544705</v>
      </c>
      <c r="D183" s="6">
        <v>124.82689329999999</v>
      </c>
      <c r="E183" s="8">
        <f t="shared" si="38"/>
        <v>1.345667835541779</v>
      </c>
      <c r="F183" s="8">
        <f t="shared" si="39"/>
        <v>0.12893787192804917</v>
      </c>
      <c r="G183" s="8">
        <f t="shared" si="40"/>
        <v>2.0963081618972401</v>
      </c>
      <c r="H183" s="3">
        <f t="shared" si="36"/>
        <v>2.6016764528537917</v>
      </c>
      <c r="I183" s="3">
        <f t="shared" si="37"/>
        <v>1.5909398709406886</v>
      </c>
      <c r="J183" s="3">
        <f t="shared" si="41"/>
        <v>399.64690394851624</v>
      </c>
      <c r="K183" s="3">
        <f t="shared" si="42"/>
        <v>38.988800205835886</v>
      </c>
    </row>
    <row r="184" spans="2:11" x14ac:dyDescent="0.25">
      <c r="B184" s="5" t="s">
        <v>29</v>
      </c>
      <c r="C184" s="4">
        <f t="shared" si="35"/>
        <v>175.41878043634557</v>
      </c>
      <c r="D184" s="6">
        <v>163.69585509999999</v>
      </c>
      <c r="E184" s="8">
        <f t="shared" si="38"/>
        <v>0.93317177723396905</v>
      </c>
      <c r="F184" s="8">
        <f t="shared" si="39"/>
        <v>-3.0038404444186307E-2</v>
      </c>
      <c r="G184" s="8">
        <f t="shared" si="40"/>
        <v>2.2140376828939949</v>
      </c>
      <c r="H184" s="3">
        <f t="shared" si="36"/>
        <v>2.7194059738505465</v>
      </c>
      <c r="I184" s="3">
        <f t="shared" si="37"/>
        <v>1.7086693919374434</v>
      </c>
      <c r="J184" s="3">
        <f t="shared" si="41"/>
        <v>524.09012153088622</v>
      </c>
      <c r="K184" s="3">
        <f t="shared" si="42"/>
        <v>51.129246433127143</v>
      </c>
    </row>
    <row r="185" spans="2:11" x14ac:dyDescent="0.25">
      <c r="B185" s="5" t="s">
        <v>30</v>
      </c>
      <c r="C185" s="4">
        <f t="shared" si="35"/>
        <v>66.325542690550506</v>
      </c>
      <c r="D185" s="6">
        <v>45.773785269999998</v>
      </c>
      <c r="E185" s="8">
        <f t="shared" si="38"/>
        <v>0.69013811893802191</v>
      </c>
      <c r="F185" s="8">
        <f t="shared" si="39"/>
        <v>-0.16106398420501836</v>
      </c>
      <c r="G185" s="8">
        <f t="shared" si="40"/>
        <v>1.6606168279592954</v>
      </c>
      <c r="H185" s="3">
        <f t="shared" si="36"/>
        <v>2.165985118915847</v>
      </c>
      <c r="I185" s="3">
        <f t="shared" si="37"/>
        <v>1.1552485370027439</v>
      </c>
      <c r="J185" s="3">
        <f t="shared" si="41"/>
        <v>146.54976248743745</v>
      </c>
      <c r="K185" s="3">
        <f t="shared" si="42"/>
        <v>14.297119165400742</v>
      </c>
    </row>
    <row r="186" spans="2:11" x14ac:dyDescent="0.25">
      <c r="B186" s="5" t="s">
        <v>31</v>
      </c>
      <c r="C186" s="4">
        <f t="shared" si="35"/>
        <v>73.166178409923205</v>
      </c>
      <c r="D186" s="6">
        <v>40.368555899999997</v>
      </c>
      <c r="E186" s="8">
        <f t="shared" si="38"/>
        <v>0.55173793106740954</v>
      </c>
      <c r="F186" s="8">
        <f t="shared" si="39"/>
        <v>-0.25826715799078054</v>
      </c>
      <c r="G186" s="8">
        <f t="shared" si="40"/>
        <v>1.6060432137184906</v>
      </c>
      <c r="H186" s="3">
        <f t="shared" si="36"/>
        <v>2.1114115046750421</v>
      </c>
      <c r="I186" s="3">
        <f t="shared" si="37"/>
        <v>1.100674922761939</v>
      </c>
      <c r="J186" s="3">
        <f t="shared" si="41"/>
        <v>129.24433153626848</v>
      </c>
      <c r="K186" s="3">
        <f t="shared" si="42"/>
        <v>12.60883387364747</v>
      </c>
    </row>
    <row r="187" spans="2:11" x14ac:dyDescent="0.25">
      <c r="B187" s="5" t="s">
        <v>32</v>
      </c>
      <c r="C187" s="4">
        <f t="shared" si="35"/>
        <v>58.595902932259698</v>
      </c>
      <c r="D187" s="6">
        <v>45.179256979999998</v>
      </c>
      <c r="E187" s="8">
        <f t="shared" si="38"/>
        <v>0.77103098884285259</v>
      </c>
      <c r="F187" s="8">
        <f t="shared" si="39"/>
        <v>-0.11292816667927136</v>
      </c>
      <c r="G187" s="8">
        <f t="shared" si="40"/>
        <v>1.6549390842173806</v>
      </c>
      <c r="H187" s="3">
        <f t="shared" si="36"/>
        <v>2.1603073751739323</v>
      </c>
      <c r="I187" s="3">
        <f t="shared" si="37"/>
        <v>1.1495707932608288</v>
      </c>
      <c r="J187" s="3">
        <f t="shared" si="41"/>
        <v>144.64631536857618</v>
      </c>
      <c r="K187" s="3">
        <f t="shared" si="42"/>
        <v>14.111422444904631</v>
      </c>
    </row>
    <row r="188" spans="2:11" s="2" customFormat="1" x14ac:dyDescent="0.25">
      <c r="B188" s="111" t="s">
        <v>85</v>
      </c>
      <c r="C188" s="111"/>
      <c r="D188" s="6">
        <v>10</v>
      </c>
      <c r="E188" s="8"/>
      <c r="F188" s="8"/>
      <c r="G188" s="8">
        <f t="shared" si="40"/>
        <v>1</v>
      </c>
      <c r="H188" s="3">
        <f t="shared" si="36"/>
        <v>1.5053682909565516</v>
      </c>
      <c r="I188" s="3">
        <f t="shared" si="37"/>
        <v>0.49463170904344833</v>
      </c>
      <c r="J188" s="3">
        <f t="shared" si="41"/>
        <v>32.016089913255605</v>
      </c>
      <c r="K188" s="3">
        <f t="shared" si="42"/>
        <v>3.1234295090668485</v>
      </c>
    </row>
    <row r="189" spans="2:11" s="2" customFormat="1" x14ac:dyDescent="0.25">
      <c r="B189" s="111"/>
      <c r="C189" s="111"/>
      <c r="D189" s="6">
        <v>1200</v>
      </c>
      <c r="E189" s="8"/>
      <c r="F189" s="8"/>
      <c r="G189" s="8">
        <f t="shared" si="40"/>
        <v>3.0791812460476247</v>
      </c>
      <c r="H189" s="3">
        <f t="shared" si="36"/>
        <v>3.5845495370041762</v>
      </c>
      <c r="I189" s="3">
        <f t="shared" si="37"/>
        <v>2.5738129550910731</v>
      </c>
      <c r="J189" s="3">
        <f t="shared" si="41"/>
        <v>3841.930789590675</v>
      </c>
      <c r="K189" s="3">
        <f t="shared" si="42"/>
        <v>374.81154108802178</v>
      </c>
    </row>
    <row r="190" spans="2:11" x14ac:dyDescent="0.25">
      <c r="B190" s="4" t="s">
        <v>83</v>
      </c>
      <c r="C190" s="21">
        <f>Q66</f>
        <v>25.839848547252238</v>
      </c>
      <c r="G190" s="9">
        <f>LOG(C190)</f>
        <v>1.412289963839866</v>
      </c>
      <c r="H190" s="3">
        <f t="shared" si="36"/>
        <v>1.9176582547964176</v>
      </c>
      <c r="I190" s="3">
        <f t="shared" si="37"/>
        <v>0.90692167288331438</v>
      </c>
      <c r="J190" s="3">
        <f t="shared" si="41"/>
        <v>82.729091443373477</v>
      </c>
      <c r="K190" s="3">
        <f t="shared" si="42"/>
        <v>8.0708945462305781</v>
      </c>
    </row>
    <row r="191" spans="2:11" x14ac:dyDescent="0.25">
      <c r="F191" s="5" t="s">
        <v>62</v>
      </c>
      <c r="G191" s="9">
        <f>AVERAGE(F159:F187)</f>
        <v>-2.8269352605292012E-4</v>
      </c>
      <c r="H191" s="5" t="s">
        <v>63</v>
      </c>
      <c r="I191" s="9">
        <f>STDEV(F159:F187)</f>
        <v>0.25784096477375085</v>
      </c>
      <c r="J191" s="2" t="s">
        <v>84</v>
      </c>
      <c r="K191" s="9">
        <f>1.96*I191</f>
        <v>0.50536829095655167</v>
      </c>
    </row>
  </sheetData>
  <mergeCells count="36">
    <mergeCell ref="O65:P65"/>
    <mergeCell ref="O66:P66"/>
    <mergeCell ref="O60:V60"/>
    <mergeCell ref="R61:S61"/>
    <mergeCell ref="U61:V61"/>
    <mergeCell ref="O61:P61"/>
    <mergeCell ref="B72:B73"/>
    <mergeCell ref="B150:C151"/>
    <mergeCell ref="B111:C112"/>
    <mergeCell ref="B188:C189"/>
    <mergeCell ref="O51:R51"/>
    <mergeCell ref="O52:P52"/>
    <mergeCell ref="O53:P53"/>
    <mergeCell ref="O54:P54"/>
    <mergeCell ref="O55:P55"/>
    <mergeCell ref="O56:P56"/>
    <mergeCell ref="O57:P57"/>
    <mergeCell ref="O62:P62"/>
    <mergeCell ref="O63:P63"/>
    <mergeCell ref="O64:P64"/>
    <mergeCell ref="B156:E156"/>
    <mergeCell ref="B157:B158"/>
    <mergeCell ref="B3:B4"/>
    <mergeCell ref="H4:I4"/>
    <mergeCell ref="B2:E2"/>
    <mergeCell ref="B40:E40"/>
    <mergeCell ref="B41:B42"/>
    <mergeCell ref="H42:I42"/>
    <mergeCell ref="B34:B35"/>
    <mergeCell ref="H158:I158"/>
    <mergeCell ref="B79:E79"/>
    <mergeCell ref="B80:B81"/>
    <mergeCell ref="H81:I81"/>
    <mergeCell ref="B118:E118"/>
    <mergeCell ref="B119:B120"/>
    <mergeCell ref="H120:I12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</vt:lpstr>
      <vt:lpstr>BASE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2016-10-26T03:07:58Z</dcterms:created>
  <dcterms:modified xsi:type="dcterms:W3CDTF">2017-02-05T02:41:27Z</dcterms:modified>
</cp:coreProperties>
</file>