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comments6.xml" ContentType="application/vnd.openxmlformats-officedocument.spreadsheetml.comments+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Default Extension="gif" ContentType="image/gif"/>
  <Override PartName="/xl/calcChain.xml" ContentType="application/vnd.openxmlformats-officedocument.spreadsheetml.calcChain+xml"/>
  <Override PartName="/xl/ctrlProps/ctrlProp5.xml" ContentType="application/vnd.ms-excel.controlproperties+xml"/>
  <Override PartName="/xl/sharedStrings.xml" ContentType="application/vnd.openxmlformats-officedocument.spreadsheetml.sharedStrings+xml"/>
  <Override PartName="/xl/ctrlProps/ctrlProp4.xml" ContentType="application/vnd.ms-excel.controlproperties+xml"/>
  <Override PartName="/xl/ctrlProps/ctrlProp3.xml" ContentType="application/vnd.ms-excel.controlpropertie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codeName="{B7FE6334-C1A2-E50D-BD3D-5F4D41BBC2E3}"/>
  <workbookPr codeName="ThisWorkbook" defaultThemeVersion="124226"/>
  <bookViews>
    <workbookView xWindow="11535" yWindow="975" windowWidth="4860" windowHeight="4965" tabRatio="800"/>
  </bookViews>
  <sheets>
    <sheet name="Directions" sheetId="64" r:id="rId1"/>
    <sheet name="1-Cover" sheetId="1" r:id="rId2"/>
    <sheet name="2-Constants" sheetId="59" r:id="rId3"/>
    <sheet name="3-H&amp;H" sheetId="2" r:id="rId4"/>
    <sheet name="4-Soil" sheetId="4" r:id="rId5"/>
    <sheet name="5-Wood" sheetId="54" r:id="rId6"/>
    <sheet name="6-Single Log Design" sheetId="63" r:id="rId7"/>
    <sheet name="7-Notation" sheetId="65" r:id="rId8"/>
    <sheet name="Anchors" sheetId="53" r:id="rId9"/>
  </sheets>
  <definedNames>
    <definedName name="AnchorRatings">Anchors!$D$4:$Y$9</definedName>
    <definedName name="CDrock">'2-Constants'!$D$11</definedName>
    <definedName name="CLrock">'2-Constants'!$D$10</definedName>
    <definedName name="DFRW">'2-Constants'!$D$13</definedName>
    <definedName name="DUWRock">'2-Constants'!$D$16</definedName>
    <definedName name="g">'2-Constants'!$D$12</definedName>
    <definedName name="GPTrees">'5-Wood'!$N$3:$N$56</definedName>
    <definedName name="GPTreesTable">'5-Wood'!$N$3:$S$56</definedName>
    <definedName name="kv">'2-Constants'!$D$19</definedName>
    <definedName name="LFRW">'2-Constants'!$D$14</definedName>
    <definedName name="MATrees">'5-Wood'!$AB$67:$AB$121</definedName>
    <definedName name="MATreesTable">'5-Wood'!$AB$67:$AG$121</definedName>
    <definedName name="MechAnchors">Anchors!$D$4:$Y$4</definedName>
    <definedName name="MWTrees">'5-Wood'!$G$64:$G$85</definedName>
    <definedName name="MWTreesTable">'5-Wood'!$G$64:$L$85</definedName>
    <definedName name="NETrees">'5-Wood'!$AB$3:$AB$62</definedName>
    <definedName name="NETreesTable">'5-Wood'!$AB$3:$AG$62</definedName>
    <definedName name="_xlnm.Print_Area" localSheetId="1">'1-Cover'!$A$1:$J$46</definedName>
    <definedName name="_xlnm.Print_Area" localSheetId="2">'2-Constants'!$A$1:$D$21</definedName>
    <definedName name="_xlnm.Print_Area" localSheetId="3">'3-H&amp;H'!$A$1:$H$28</definedName>
    <definedName name="_xlnm.Print_Area" localSheetId="4">'4-Soil'!$A$1:$M$29</definedName>
    <definedName name="_xlnm.Print_Area" localSheetId="5">'5-Wood'!$A$1:$E$29</definedName>
    <definedName name="_xlnm.Print_Area" localSheetId="6">'6-Single Log Design'!$A$1:$J$90</definedName>
    <definedName name="_xlnm.Print_Area" localSheetId="7">'7-Notation'!$A$1:$G$88</definedName>
    <definedName name="_xlnm.Print_Area" localSheetId="8">Anchors!$A$1:$Y$43</definedName>
    <definedName name="_xlnm.Print_Area" localSheetId="0">Directions!$A$1:$J$125</definedName>
    <definedName name="_xlnm.Print_Titles" localSheetId="4">'4-Soil'!$A:$B</definedName>
    <definedName name="RWporosity">'2-Constants'!$D$18</definedName>
    <definedName name="SCTrees">'5-Wood'!$N$61:$N$127</definedName>
    <definedName name="SCTreesTable">'5-Wood'!$N$61:$S$127</definedName>
    <definedName name="SelectedTrees">'5-Wood'!$B$8:$B$17</definedName>
    <definedName name="SETrees">'5-Wood'!$U$71:$U$130</definedName>
    <definedName name="SETreesTable">'5-Wood'!$U$71:$Z$130</definedName>
    <definedName name="SG">'2-Constants'!$D$15</definedName>
    <definedName name="SiteID">'3-H&amp;H'!$A$9:$A$28</definedName>
    <definedName name="SiteInfo">'3-H&amp;H'!$A$9:$J$28</definedName>
    <definedName name="SLAnchor">Anchors!$A$26:$A$32</definedName>
    <definedName name="Soil">'4-Soil'!$A$7:$M$26</definedName>
    <definedName name="SWWater">'2-Constants'!$D$17</definedName>
    <definedName name="UMWTrees">'5-Wood'!$U$3:$U$66</definedName>
    <definedName name="UMWTreesTable">'5-Wood'!$U$3:$Z$66</definedName>
    <definedName name="WCTrees">'5-Wood'!$G$28:$G$59</definedName>
    <definedName name="WCTreesTable">'5-Wood'!$G$28:$L$59</definedName>
  </definedNames>
  <calcPr calcId="125725"/>
</workbook>
</file>

<file path=xl/calcChain.xml><?xml version="1.0" encoding="utf-8"?>
<calcChain xmlns="http://schemas.openxmlformats.org/spreadsheetml/2006/main">
  <c r="I78" i="63"/>
  <c r="J78" s="1"/>
  <c r="P88" i="64" l="1"/>
  <c r="N88"/>
  <c r="P87"/>
  <c r="N87"/>
  <c r="P86"/>
  <c r="N86"/>
  <c r="AF114" i="63" l="1"/>
  <c r="AF112"/>
  <c r="AF115" l="1"/>
  <c r="AF113"/>
  <c r="J6"/>
  <c r="L74" l="1"/>
  <c r="M91" l="1"/>
  <c r="K11" l="1"/>
  <c r="M20"/>
  <c r="M19"/>
  <c r="M18"/>
  <c r="M17"/>
  <c r="D91"/>
  <c r="B91"/>
  <c r="A91"/>
  <c r="B48"/>
  <c r="A48"/>
  <c r="Z7" i="4" l="1"/>
  <c r="AA7"/>
  <c r="AC7" s="1"/>
  <c r="AD7" s="1"/>
  <c r="K13" i="63"/>
  <c r="Y7" i="4" l="1"/>
  <c r="G95" i="63" l="1"/>
  <c r="L95" s="1"/>
  <c r="K93"/>
  <c r="K81"/>
  <c r="B66" l="1"/>
  <c r="D48"/>
  <c r="E91" s="1"/>
  <c r="I98"/>
  <c r="M98" s="1"/>
  <c r="I97"/>
  <c r="M97" s="1"/>
  <c r="J97" s="1"/>
  <c r="I96"/>
  <c r="M96" s="1"/>
  <c r="I95"/>
  <c r="M95" s="1"/>
  <c r="M99" s="1"/>
  <c r="L69" s="1"/>
  <c r="H95"/>
  <c r="G98"/>
  <c r="L98" s="1"/>
  <c r="G97"/>
  <c r="G96"/>
  <c r="BG7"/>
  <c r="BI7"/>
  <c r="J98" l="1"/>
  <c r="L97"/>
  <c r="H97" s="1"/>
  <c r="H98"/>
  <c r="J95"/>
  <c r="L96"/>
  <c r="F91"/>
  <c r="F48"/>
  <c r="E48"/>
  <c r="J96"/>
  <c r="H96" l="1"/>
  <c r="L99"/>
  <c r="L58" s="1"/>
  <c r="I69"/>
  <c r="H6"/>
  <c r="L80"/>
  <c r="K90"/>
  <c r="K87"/>
  <c r="K84"/>
  <c r="L72"/>
  <c r="L61"/>
  <c r="J58" l="1"/>
  <c r="I58"/>
  <c r="J69"/>
  <c r="K21"/>
  <c r="AI8" l="1"/>
  <c r="AI7"/>
  <c r="A1" i="65" l="1"/>
  <c r="A1" i="63"/>
  <c r="A1" i="54"/>
  <c r="A1" i="2"/>
  <c r="A1" i="59"/>
  <c r="I1" i="4"/>
  <c r="C1"/>
  <c r="G22" i="63" l="1"/>
  <c r="H22"/>
  <c r="Q78" l="1"/>
  <c r="Q77"/>
  <c r="BI6"/>
  <c r="M21"/>
  <c r="BE6"/>
  <c r="AL17"/>
  <c r="AJ245"/>
  <c r="Y63"/>
  <c r="U63"/>
  <c r="Y62"/>
  <c r="U62"/>
  <c r="Y61"/>
  <c r="U61"/>
  <c r="Y60"/>
  <c r="U60"/>
  <c r="Y59"/>
  <c r="U59"/>
  <c r="Y58"/>
  <c r="U58"/>
  <c r="T40"/>
  <c r="W40"/>
  <c r="T41"/>
  <c r="V41" s="1"/>
  <c r="W41" s="1"/>
  <c r="Y37"/>
  <c r="Y36"/>
  <c r="Y35"/>
  <c r="Y34"/>
  <c r="Y33"/>
  <c r="Y32"/>
  <c r="AJ45" l="1"/>
  <c r="BD13"/>
  <c r="BE13" s="1"/>
  <c r="BF13" s="1"/>
  <c r="BG13" s="1"/>
  <c r="BD18"/>
  <c r="BE18" s="1"/>
  <c r="BF18" s="1"/>
  <c r="BG18" s="1"/>
  <c r="BD23"/>
  <c r="BE23" s="1"/>
  <c r="BF23" s="1"/>
  <c r="BG23" s="1"/>
  <c r="BD29"/>
  <c r="BE29" s="1"/>
  <c r="BF29" s="1"/>
  <c r="BG29" s="1"/>
  <c r="BD34"/>
  <c r="BE34" s="1"/>
  <c r="BF34" s="1"/>
  <c r="BG34" s="1"/>
  <c r="BD38"/>
  <c r="BE38" s="1"/>
  <c r="BF38" s="1"/>
  <c r="BG38" s="1"/>
  <c r="BD30"/>
  <c r="BE30" s="1"/>
  <c r="BF30" s="1"/>
  <c r="BG30" s="1"/>
  <c r="BD39"/>
  <c r="BE39" s="1"/>
  <c r="BF39" s="1"/>
  <c r="BG39" s="1"/>
  <c r="BD11"/>
  <c r="BE11" s="1"/>
  <c r="BF11" s="1"/>
  <c r="BG11" s="1"/>
  <c r="BD22"/>
  <c r="BE22" s="1"/>
  <c r="BF22" s="1"/>
  <c r="BG22" s="1"/>
  <c r="BD33"/>
  <c r="BE33" s="1"/>
  <c r="BF33" s="1"/>
  <c r="BG33" s="1"/>
  <c r="BD14"/>
  <c r="BE14" s="1"/>
  <c r="BF14" s="1"/>
  <c r="BG14" s="1"/>
  <c r="BD19"/>
  <c r="BE19" s="1"/>
  <c r="BF19" s="1"/>
  <c r="BG19" s="1"/>
  <c r="BD25"/>
  <c r="BE25" s="1"/>
  <c r="BF25" s="1"/>
  <c r="BG25" s="1"/>
  <c r="BD35"/>
  <c r="BE35" s="1"/>
  <c r="BF35" s="1"/>
  <c r="BG35" s="1"/>
  <c r="BD15"/>
  <c r="BE15" s="1"/>
  <c r="BF15" s="1"/>
  <c r="BG15" s="1"/>
  <c r="BD21"/>
  <c r="BE21" s="1"/>
  <c r="BF21" s="1"/>
  <c r="BG21" s="1"/>
  <c r="BD26"/>
  <c r="BE26" s="1"/>
  <c r="BF26" s="1"/>
  <c r="BG26" s="1"/>
  <c r="BD31"/>
  <c r="BE31" s="1"/>
  <c r="BF31" s="1"/>
  <c r="BG31" s="1"/>
  <c r="BD36"/>
  <c r="BE36" s="1"/>
  <c r="BF36" s="1"/>
  <c r="BG36" s="1"/>
  <c r="BD10"/>
  <c r="BE10" s="1"/>
  <c r="BF10" s="1"/>
  <c r="BG10" s="1"/>
  <c r="BD17"/>
  <c r="BE17" s="1"/>
  <c r="BF17" s="1"/>
  <c r="BG17" s="1"/>
  <c r="BD27"/>
  <c r="BE27" s="1"/>
  <c r="BF27" s="1"/>
  <c r="BG27" s="1"/>
  <c r="BD37"/>
  <c r="BE37" s="1"/>
  <c r="BF37" s="1"/>
  <c r="BG37" s="1"/>
  <c r="BD32"/>
  <c r="BE32" s="1"/>
  <c r="BF32" s="1"/>
  <c r="BG32" s="1"/>
  <c r="BD16"/>
  <c r="BE16" s="1"/>
  <c r="BF16" s="1"/>
  <c r="BG16" s="1"/>
  <c r="BD28"/>
  <c r="BE28" s="1"/>
  <c r="BF28" s="1"/>
  <c r="BG28" s="1"/>
  <c r="BD12"/>
  <c r="BE12" s="1"/>
  <c r="BF12" s="1"/>
  <c r="BG12" s="1"/>
  <c r="BD24"/>
  <c r="BE24" s="1"/>
  <c r="BF24" s="1"/>
  <c r="BG24" s="1"/>
  <c r="BD20"/>
  <c r="BE20" s="1"/>
  <c r="BF20" s="1"/>
  <c r="BG20" s="1"/>
  <c r="AJ53"/>
  <c r="AJ77"/>
  <c r="AJ116"/>
  <c r="AJ148"/>
  <c r="AJ180"/>
  <c r="AJ204"/>
  <c r="AJ226"/>
  <c r="AJ244"/>
  <c r="AJ99"/>
  <c r="AJ140"/>
  <c r="AJ188"/>
  <c r="AJ215"/>
  <c r="AJ242"/>
  <c r="AJ210"/>
  <c r="AJ108"/>
  <c r="AJ231"/>
  <c r="AJ194"/>
  <c r="AJ132"/>
  <c r="AJ67"/>
  <c r="AJ220"/>
  <c r="AJ172"/>
  <c r="AJ124"/>
  <c r="AJ56"/>
  <c r="AJ164"/>
  <c r="AJ236"/>
  <c r="AJ199"/>
  <c r="AJ156"/>
  <c r="AJ88"/>
  <c r="AJ239"/>
  <c r="AJ234"/>
  <c r="AJ228"/>
  <c r="AJ223"/>
  <c r="AJ218"/>
  <c r="AJ212"/>
  <c r="AJ207"/>
  <c r="AJ202"/>
  <c r="AJ196"/>
  <c r="AJ191"/>
  <c r="AJ184"/>
  <c r="AJ176"/>
  <c r="AJ168"/>
  <c r="AJ160"/>
  <c r="AJ152"/>
  <c r="AJ144"/>
  <c r="AJ136"/>
  <c r="AJ128"/>
  <c r="AJ120"/>
  <c r="AJ112"/>
  <c r="AJ104"/>
  <c r="AJ93"/>
  <c r="AJ83"/>
  <c r="AJ72"/>
  <c r="AJ61"/>
  <c r="AJ51"/>
  <c r="AJ243"/>
  <c r="AJ238"/>
  <c r="AJ232"/>
  <c r="AJ227"/>
  <c r="AJ222"/>
  <c r="AJ216"/>
  <c r="AJ211"/>
  <c r="AJ206"/>
  <c r="AJ200"/>
  <c r="AJ195"/>
  <c r="AJ190"/>
  <c r="AJ182"/>
  <c r="AJ174"/>
  <c r="AJ166"/>
  <c r="AJ158"/>
  <c r="AJ150"/>
  <c r="AJ142"/>
  <c r="AJ134"/>
  <c r="AJ126"/>
  <c r="AJ118"/>
  <c r="AJ110"/>
  <c r="AJ101"/>
  <c r="AJ91"/>
  <c r="AJ80"/>
  <c r="AJ69"/>
  <c r="AJ59"/>
  <c r="AJ48"/>
  <c r="AJ240"/>
  <c r="AJ235"/>
  <c r="AJ230"/>
  <c r="AJ224"/>
  <c r="AJ219"/>
  <c r="AJ214"/>
  <c r="AJ208"/>
  <c r="AJ203"/>
  <c r="AJ198"/>
  <c r="AJ192"/>
  <c r="AJ186"/>
  <c r="AJ178"/>
  <c r="AJ170"/>
  <c r="AJ162"/>
  <c r="AJ154"/>
  <c r="AJ146"/>
  <c r="AJ138"/>
  <c r="AJ130"/>
  <c r="AJ122"/>
  <c r="AJ114"/>
  <c r="AJ106"/>
  <c r="AJ96"/>
  <c r="AJ85"/>
  <c r="AJ75"/>
  <c r="AJ64"/>
  <c r="AJ46"/>
  <c r="AJ50"/>
  <c r="AJ54"/>
  <c r="AJ58"/>
  <c r="AJ62"/>
  <c r="AJ66"/>
  <c r="AJ70"/>
  <c r="AJ74"/>
  <c r="AJ78"/>
  <c r="AJ82"/>
  <c r="AJ86"/>
  <c r="AJ90"/>
  <c r="AJ94"/>
  <c r="AJ98"/>
  <c r="AJ102"/>
  <c r="AJ241"/>
  <c r="AJ237"/>
  <c r="AJ233"/>
  <c r="AJ229"/>
  <c r="AJ225"/>
  <c r="AJ221"/>
  <c r="AJ217"/>
  <c r="AJ213"/>
  <c r="AJ209"/>
  <c r="AJ205"/>
  <c r="AJ201"/>
  <c r="AJ197"/>
  <c r="AJ193"/>
  <c r="AJ189"/>
  <c r="AJ185"/>
  <c r="AJ181"/>
  <c r="AJ177"/>
  <c r="AJ173"/>
  <c r="AJ169"/>
  <c r="AJ165"/>
  <c r="AJ161"/>
  <c r="AJ157"/>
  <c r="AJ153"/>
  <c r="AJ149"/>
  <c r="AJ145"/>
  <c r="AJ141"/>
  <c r="AJ137"/>
  <c r="AJ133"/>
  <c r="AJ129"/>
  <c r="AJ125"/>
  <c r="AJ121"/>
  <c r="AJ117"/>
  <c r="AJ113"/>
  <c r="AJ109"/>
  <c r="AJ105"/>
  <c r="AJ100"/>
  <c r="AJ95"/>
  <c r="AJ89"/>
  <c r="AJ84"/>
  <c r="AJ79"/>
  <c r="AJ73"/>
  <c r="AJ68"/>
  <c r="AJ63"/>
  <c r="AJ57"/>
  <c r="AJ52"/>
  <c r="AJ47"/>
  <c r="AJ187"/>
  <c r="AJ183"/>
  <c r="AJ179"/>
  <c r="AJ175"/>
  <c r="AJ171"/>
  <c r="AJ167"/>
  <c r="AJ163"/>
  <c r="AJ159"/>
  <c r="AJ155"/>
  <c r="AJ151"/>
  <c r="AJ147"/>
  <c r="AJ143"/>
  <c r="AJ139"/>
  <c r="AJ135"/>
  <c r="AJ131"/>
  <c r="AJ127"/>
  <c r="AJ123"/>
  <c r="AJ119"/>
  <c r="AJ115"/>
  <c r="AJ111"/>
  <c r="AJ107"/>
  <c r="AJ103"/>
  <c r="AJ97"/>
  <c r="AJ92"/>
  <c r="AJ87"/>
  <c r="AJ81"/>
  <c r="AJ76"/>
  <c r="AJ71"/>
  <c r="AJ65"/>
  <c r="AJ60"/>
  <c r="AJ55"/>
  <c r="AJ49"/>
  <c r="T76"/>
  <c r="W42"/>
  <c r="T43"/>
  <c r="T42"/>
  <c r="BG40" l="1"/>
  <c r="V43"/>
  <c r="W43" s="1"/>
  <c r="K19"/>
  <c r="U37" l="1"/>
  <c r="U36"/>
  <c r="U35"/>
  <c r="U34"/>
  <c r="U33"/>
  <c r="U32"/>
  <c r="W38"/>
  <c r="AB34" l="1"/>
  <c r="AB33"/>
  <c r="T39" l="1"/>
  <c r="T38"/>
  <c r="AB35"/>
  <c r="V39" l="1"/>
  <c r="W39" s="1"/>
  <c r="AB32"/>
  <c r="AB36"/>
  <c r="AB31"/>
  <c r="Y77" l="1"/>
  <c r="K15"/>
  <c r="AE16"/>
  <c r="AE15"/>
  <c r="AD16"/>
  <c r="AD15"/>
  <c r="AT8" l="1"/>
  <c r="AE8" l="1"/>
  <c r="BG6" s="1"/>
  <c r="AE9" l="1"/>
  <c r="AD9"/>
  <c r="AD8"/>
  <c r="AT7" l="1"/>
  <c r="Y76" l="1"/>
  <c r="AB77" s="1"/>
  <c r="K20"/>
  <c r="N51" l="1"/>
  <c r="T67" l="1"/>
  <c r="T47"/>
  <c r="T69"/>
  <c r="T70"/>
  <c r="T68"/>
  <c r="T72"/>
  <c r="T71"/>
  <c r="T51"/>
  <c r="T48"/>
  <c r="T50"/>
  <c r="T49"/>
  <c r="T52"/>
  <c r="AD12"/>
  <c r="K10"/>
  <c r="K12"/>
  <c r="G6"/>
  <c r="AE12" l="1"/>
  <c r="AW17"/>
  <c r="B18" i="4"/>
  <c r="L26" l="1"/>
  <c r="L25"/>
  <c r="L24"/>
  <c r="L23"/>
  <c r="L22"/>
  <c r="L21"/>
  <c r="L20"/>
  <c r="L18"/>
  <c r="AD22"/>
  <c r="AC22"/>
  <c r="AC21"/>
  <c r="AD21" s="1"/>
  <c r="AA22"/>
  <c r="AB22" s="1"/>
  <c r="AA21"/>
  <c r="AB21" s="1"/>
  <c r="AA19"/>
  <c r="AC19" s="1"/>
  <c r="AD19" s="1"/>
  <c r="AA18"/>
  <c r="AC18" s="1"/>
  <c r="AD18" s="1"/>
  <c r="AA17"/>
  <c r="AC17" s="1"/>
  <c r="AD17" s="1"/>
  <c r="AA16"/>
  <c r="AA15"/>
  <c r="AA14"/>
  <c r="AC14" s="1"/>
  <c r="AD14" s="1"/>
  <c r="AA13"/>
  <c r="AC13" s="1"/>
  <c r="AD13" s="1"/>
  <c r="AA12"/>
  <c r="AC12" s="1"/>
  <c r="AD12" s="1"/>
  <c r="AA11"/>
  <c r="AA10"/>
  <c r="AC10" s="1"/>
  <c r="AD10" s="1"/>
  <c r="L14" s="1"/>
  <c r="AA9"/>
  <c r="AC9" s="1"/>
  <c r="AD9" s="1"/>
  <c r="AA8"/>
  <c r="AC8" s="1"/>
  <c r="AD8" s="1"/>
  <c r="L7" l="1"/>
  <c r="L15"/>
  <c r="L8"/>
  <c r="L16"/>
  <c r="L11"/>
  <c r="L12"/>
  <c r="L9"/>
  <c r="L13"/>
  <c r="L17"/>
  <c r="L10"/>
  <c r="AC11"/>
  <c r="AD11" s="1"/>
  <c r="L19" s="1"/>
  <c r="AC16"/>
  <c r="AD16" s="1"/>
  <c r="AC15"/>
  <c r="AD15" s="1"/>
  <c r="AB17"/>
  <c r="AB12"/>
  <c r="AB8"/>
  <c r="AB18"/>
  <c r="AB13"/>
  <c r="AB9"/>
  <c r="AB16"/>
  <c r="AB11"/>
  <c r="AB19"/>
  <c r="AB14"/>
  <c r="AB10"/>
  <c r="AB15"/>
  <c r="I9" i="2" l="1"/>
  <c r="I6" i="63" s="1"/>
  <c r="K7" s="1"/>
  <c r="I28" i="2"/>
  <c r="J28" s="1"/>
  <c r="I27"/>
  <c r="J27" s="1"/>
  <c r="I26"/>
  <c r="J26" s="1"/>
  <c r="I25"/>
  <c r="J25" s="1"/>
  <c r="I24"/>
  <c r="J24" s="1"/>
  <c r="I23"/>
  <c r="J23" s="1"/>
  <c r="I22"/>
  <c r="J22" s="1"/>
  <c r="I21"/>
  <c r="J21" s="1"/>
  <c r="I20"/>
  <c r="J20" s="1"/>
  <c r="I19"/>
  <c r="J19" s="1"/>
  <c r="I18"/>
  <c r="J18" s="1"/>
  <c r="I17"/>
  <c r="J17" s="1"/>
  <c r="I16"/>
  <c r="J16" s="1"/>
  <c r="I15"/>
  <c r="J15" s="1"/>
  <c r="I14"/>
  <c r="J14" s="1"/>
  <c r="I13"/>
  <c r="J13" s="1"/>
  <c r="I12"/>
  <c r="J12" s="1"/>
  <c r="I11"/>
  <c r="J11" s="1"/>
  <c r="I10"/>
  <c r="J10" s="1"/>
  <c r="K6" i="63" l="1"/>
  <c r="J9" i="2"/>
  <c r="E17" i="54"/>
  <c r="C17"/>
  <c r="E16"/>
  <c r="C16"/>
  <c r="E15"/>
  <c r="C15"/>
  <c r="E14"/>
  <c r="C14"/>
  <c r="E13"/>
  <c r="C13"/>
  <c r="E12"/>
  <c r="C12"/>
  <c r="E11"/>
  <c r="C11"/>
  <c r="E10"/>
  <c r="C10"/>
  <c r="E9"/>
  <c r="C9"/>
  <c r="E8"/>
  <c r="C8"/>
  <c r="J22" i="63" l="1"/>
  <c r="E26" i="4"/>
  <c r="E25"/>
  <c r="E24"/>
  <c r="E23"/>
  <c r="E22"/>
  <c r="E21"/>
  <c r="E20"/>
  <c r="H26"/>
  <c r="H25"/>
  <c r="H24"/>
  <c r="H23"/>
  <c r="H22"/>
  <c r="H21"/>
  <c r="H20"/>
  <c r="M26" l="1"/>
  <c r="K26"/>
  <c r="J26"/>
  <c r="M25"/>
  <c r="K25"/>
  <c r="J25"/>
  <c r="M24"/>
  <c r="K24"/>
  <c r="J24"/>
  <c r="M23"/>
  <c r="K23"/>
  <c r="J23"/>
  <c r="M22"/>
  <c r="K22"/>
  <c r="J22"/>
  <c r="M21"/>
  <c r="K21"/>
  <c r="J21"/>
  <c r="M20"/>
  <c r="K20"/>
  <c r="J20"/>
  <c r="M19"/>
  <c r="K19"/>
  <c r="J19"/>
  <c r="M18"/>
  <c r="K18"/>
  <c r="J18"/>
  <c r="M17"/>
  <c r="K17"/>
  <c r="J17"/>
  <c r="M16"/>
  <c r="K16"/>
  <c r="J16"/>
  <c r="M15"/>
  <c r="K15"/>
  <c r="J15"/>
  <c r="M14"/>
  <c r="K14"/>
  <c r="J14"/>
  <c r="M13"/>
  <c r="K13"/>
  <c r="J13"/>
  <c r="M12"/>
  <c r="K12"/>
  <c r="J12"/>
  <c r="M11"/>
  <c r="K11"/>
  <c r="J11"/>
  <c r="M10"/>
  <c r="K10"/>
  <c r="J10"/>
  <c r="M9"/>
  <c r="K9"/>
  <c r="J9"/>
  <c r="M8"/>
  <c r="K8"/>
  <c r="J8"/>
  <c r="M7"/>
  <c r="K7"/>
  <c r="J7"/>
  <c r="F7"/>
  <c r="B22"/>
  <c r="B21"/>
  <c r="B20"/>
  <c r="B19"/>
  <c r="B17"/>
  <c r="B16"/>
  <c r="B15"/>
  <c r="B14"/>
  <c r="B13"/>
  <c r="B12"/>
  <c r="B11"/>
  <c r="B10"/>
  <c r="B9"/>
  <c r="B8"/>
  <c r="B7"/>
  <c r="D26"/>
  <c r="G26" s="1"/>
  <c r="D25"/>
  <c r="G25" s="1"/>
  <c r="D24"/>
  <c r="G24" s="1"/>
  <c r="D23"/>
  <c r="G23" s="1"/>
  <c r="D22"/>
  <c r="G22" s="1"/>
  <c r="D21"/>
  <c r="G21" s="1"/>
  <c r="D20"/>
  <c r="G20" s="1"/>
  <c r="D19"/>
  <c r="D14"/>
  <c r="D13"/>
  <c r="D12"/>
  <c r="D11"/>
  <c r="D10"/>
  <c r="D9"/>
  <c r="D8"/>
  <c r="D7"/>
  <c r="G7" s="1"/>
  <c r="H9" l="1"/>
  <c r="E9"/>
  <c r="E7"/>
  <c r="H7"/>
  <c r="E11"/>
  <c r="H11"/>
  <c r="H8"/>
  <c r="E8"/>
  <c r="H12"/>
  <c r="E12"/>
  <c r="H13"/>
  <c r="E13"/>
  <c r="D15"/>
  <c r="E10"/>
  <c r="H10"/>
  <c r="E14"/>
  <c r="H14"/>
  <c r="H19"/>
  <c r="E19"/>
  <c r="F12"/>
  <c r="G12" s="1"/>
  <c r="F26"/>
  <c r="F25"/>
  <c r="F24"/>
  <c r="F23"/>
  <c r="F15"/>
  <c r="F14"/>
  <c r="G14" s="1"/>
  <c r="F13"/>
  <c r="G13" s="1"/>
  <c r="F11"/>
  <c r="G11" s="1"/>
  <c r="F10"/>
  <c r="G10" s="1"/>
  <c r="F9"/>
  <c r="G9" s="1"/>
  <c r="F8"/>
  <c r="G8" s="1"/>
  <c r="G15" l="1"/>
  <c r="E15"/>
  <c r="H15"/>
  <c r="AB7"/>
  <c r="D17"/>
  <c r="F18"/>
  <c r="F16"/>
  <c r="D16"/>
  <c r="D18"/>
  <c r="G18" s="1"/>
  <c r="AF61" i="54"/>
  <c r="AF60"/>
  <c r="AF59"/>
  <c r="AF57"/>
  <c r="AF47"/>
  <c r="AF46"/>
  <c r="AF44"/>
  <c r="AF41"/>
  <c r="AF40"/>
  <c r="AF45"/>
  <c r="AF43"/>
  <c r="AF42"/>
  <c r="AF39"/>
  <c r="AF38"/>
  <c r="AF37"/>
  <c r="AF36"/>
  <c r="AF35"/>
  <c r="AF21"/>
  <c r="AF34"/>
  <c r="AF33"/>
  <c r="AF32"/>
  <c r="AF31"/>
  <c r="AF30"/>
  <c r="AF29"/>
  <c r="AF28"/>
  <c r="AF26"/>
  <c r="AF24"/>
  <c r="AF23"/>
  <c r="AF22"/>
  <c r="AF20"/>
  <c r="AF8"/>
  <c r="AF19"/>
  <c r="AF18"/>
  <c r="AF14"/>
  <c r="AF13"/>
  <c r="AF12"/>
  <c r="AF11"/>
  <c r="AF10"/>
  <c r="AF9"/>
  <c r="AF7"/>
  <c r="AF6"/>
  <c r="AF5"/>
  <c r="AF4"/>
  <c r="AF3"/>
  <c r="AF58"/>
  <c r="AF56"/>
  <c r="AF55"/>
  <c r="AF54"/>
  <c r="AF53"/>
  <c r="AF52"/>
  <c r="AF51"/>
  <c r="AF50"/>
  <c r="AF49"/>
  <c r="AF48"/>
  <c r="AF27"/>
  <c r="AF25"/>
  <c r="AF17"/>
  <c r="AF16"/>
  <c r="AF15"/>
  <c r="AF120"/>
  <c r="AF119"/>
  <c r="AF118"/>
  <c r="AF117"/>
  <c r="AF116"/>
  <c r="AF108"/>
  <c r="AF106"/>
  <c r="AF105"/>
  <c r="AF102"/>
  <c r="AF100"/>
  <c r="AF97"/>
  <c r="AF109"/>
  <c r="AF107"/>
  <c r="AF104"/>
  <c r="AF103"/>
  <c r="AF101"/>
  <c r="AF99"/>
  <c r="AF98"/>
  <c r="AF96"/>
  <c r="AF95"/>
  <c r="AF94"/>
  <c r="AF93"/>
  <c r="AF92"/>
  <c r="AF82"/>
  <c r="AF91"/>
  <c r="AF90"/>
  <c r="AF89"/>
  <c r="AF88"/>
  <c r="AF87"/>
  <c r="AF85"/>
  <c r="AF84"/>
  <c r="AF83"/>
  <c r="AF81"/>
  <c r="AF80"/>
  <c r="AF79"/>
  <c r="AF76"/>
  <c r="AF75"/>
  <c r="AF74"/>
  <c r="AF73"/>
  <c r="AF72"/>
  <c r="AF70"/>
  <c r="AF69"/>
  <c r="AF68"/>
  <c r="AF67"/>
  <c r="AF115"/>
  <c r="AF114"/>
  <c r="AF113"/>
  <c r="AF112"/>
  <c r="AF111"/>
  <c r="AF110"/>
  <c r="AF86"/>
  <c r="AF78"/>
  <c r="AF77"/>
  <c r="AF71"/>
  <c r="Y129"/>
  <c r="Y128"/>
  <c r="Y127"/>
  <c r="Y126"/>
  <c r="Y125"/>
  <c r="Y124"/>
  <c r="Y112"/>
  <c r="Y110"/>
  <c r="Y106"/>
  <c r="Y104"/>
  <c r="Y108"/>
  <c r="Y101"/>
  <c r="Y113"/>
  <c r="Y111"/>
  <c r="Y109"/>
  <c r="Y107"/>
  <c r="Y105"/>
  <c r="Y103"/>
  <c r="Y102"/>
  <c r="Y100"/>
  <c r="Y99"/>
  <c r="Y98"/>
  <c r="Y97"/>
  <c r="Y96"/>
  <c r="Y84"/>
  <c r="Y95"/>
  <c r="Y93"/>
  <c r="Y92"/>
  <c r="Y90"/>
  <c r="Y94"/>
  <c r="Y91"/>
  <c r="Y89"/>
  <c r="Y87"/>
  <c r="Y86"/>
  <c r="Y85"/>
  <c r="Y83"/>
  <c r="Y82"/>
  <c r="Y81"/>
  <c r="Y78"/>
  <c r="Y77"/>
  <c r="Y76"/>
  <c r="Y75"/>
  <c r="Y74"/>
  <c r="Y72"/>
  <c r="Y71"/>
  <c r="Y123"/>
  <c r="Y122"/>
  <c r="Y121"/>
  <c r="Y120"/>
  <c r="Y119"/>
  <c r="Y118"/>
  <c r="Y117"/>
  <c r="Y116"/>
  <c r="Y115"/>
  <c r="Y114"/>
  <c r="Y88"/>
  <c r="Y80"/>
  <c r="Y79"/>
  <c r="Y73"/>
  <c r="Y65"/>
  <c r="Y64"/>
  <c r="Y63"/>
  <c r="Y61"/>
  <c r="Y60"/>
  <c r="Y51"/>
  <c r="Y50"/>
  <c r="Y49"/>
  <c r="Y46"/>
  <c r="Y44"/>
  <c r="Y42"/>
  <c r="Y40"/>
  <c r="Y48"/>
  <c r="Y47"/>
  <c r="Y45"/>
  <c r="Y43"/>
  <c r="Y41"/>
  <c r="Y39"/>
  <c r="Y38"/>
  <c r="Y37"/>
  <c r="Y36"/>
  <c r="Y35"/>
  <c r="Y21"/>
  <c r="Y34"/>
  <c r="Y33"/>
  <c r="Y32"/>
  <c r="Y31"/>
  <c r="Y30"/>
  <c r="Y29"/>
  <c r="Y52"/>
  <c r="Y28"/>
  <c r="Y26"/>
  <c r="Y24"/>
  <c r="Y23"/>
  <c r="Y22"/>
  <c r="Y20"/>
  <c r="Y9"/>
  <c r="Y19"/>
  <c r="Y18"/>
  <c r="Y15"/>
  <c r="Y14"/>
  <c r="Y13"/>
  <c r="Y12"/>
  <c r="Y11"/>
  <c r="Y10"/>
  <c r="Y8"/>
  <c r="Y7"/>
  <c r="Y6"/>
  <c r="Y5"/>
  <c r="Y4"/>
  <c r="Y3"/>
  <c r="Y62"/>
  <c r="Y59"/>
  <c r="Y58"/>
  <c r="Y57"/>
  <c r="Y56"/>
  <c r="Y55"/>
  <c r="Y54"/>
  <c r="Y53"/>
  <c r="Y27"/>
  <c r="Y25"/>
  <c r="Y17"/>
  <c r="Y16"/>
  <c r="R126"/>
  <c r="R125"/>
  <c r="R124"/>
  <c r="R123"/>
  <c r="R122"/>
  <c r="R121"/>
  <c r="R110"/>
  <c r="R108"/>
  <c r="R107"/>
  <c r="R103"/>
  <c r="R101"/>
  <c r="R105"/>
  <c r="R98"/>
  <c r="R96"/>
  <c r="R111"/>
  <c r="R109"/>
  <c r="R106"/>
  <c r="R104"/>
  <c r="R102"/>
  <c r="R100"/>
  <c r="R99"/>
  <c r="R97"/>
  <c r="R95"/>
  <c r="R94"/>
  <c r="R93"/>
  <c r="R92"/>
  <c r="R91"/>
  <c r="R90"/>
  <c r="R75"/>
  <c r="R89"/>
  <c r="R88"/>
  <c r="R86"/>
  <c r="R85"/>
  <c r="R84"/>
  <c r="R82"/>
  <c r="R87"/>
  <c r="R112"/>
  <c r="R83"/>
  <c r="R81"/>
  <c r="R79"/>
  <c r="R78"/>
  <c r="R77"/>
  <c r="R76"/>
  <c r="R74"/>
  <c r="R73"/>
  <c r="R72"/>
  <c r="R70"/>
  <c r="R69"/>
  <c r="R68"/>
  <c r="R67"/>
  <c r="R66"/>
  <c r="R64"/>
  <c r="R63"/>
  <c r="R62"/>
  <c r="R61"/>
  <c r="R120"/>
  <c r="R119"/>
  <c r="R118"/>
  <c r="R117"/>
  <c r="R116"/>
  <c r="R115"/>
  <c r="R114"/>
  <c r="R113"/>
  <c r="R80"/>
  <c r="R71"/>
  <c r="R65"/>
  <c r="R55"/>
  <c r="R54"/>
  <c r="R53"/>
  <c r="R51"/>
  <c r="R43"/>
  <c r="R42"/>
  <c r="R39"/>
  <c r="R35"/>
  <c r="R41"/>
  <c r="R40"/>
  <c r="R38"/>
  <c r="R37"/>
  <c r="R36"/>
  <c r="R34"/>
  <c r="R33"/>
  <c r="R32"/>
  <c r="R31"/>
  <c r="R30"/>
  <c r="R29"/>
  <c r="R28"/>
  <c r="R27"/>
  <c r="R26"/>
  <c r="R25"/>
  <c r="R24"/>
  <c r="R44"/>
  <c r="R23"/>
  <c r="R22"/>
  <c r="R20"/>
  <c r="R19"/>
  <c r="R18"/>
  <c r="R17"/>
  <c r="R9"/>
  <c r="R16"/>
  <c r="R13"/>
  <c r="R12"/>
  <c r="R11"/>
  <c r="R10"/>
  <c r="R8"/>
  <c r="R7"/>
  <c r="R6"/>
  <c r="R5"/>
  <c r="R4"/>
  <c r="R3"/>
  <c r="R52"/>
  <c r="R50"/>
  <c r="R49"/>
  <c r="R48"/>
  <c r="R47"/>
  <c r="R46"/>
  <c r="R45"/>
  <c r="R21"/>
  <c r="R15"/>
  <c r="R14"/>
  <c r="K84"/>
  <c r="K71"/>
  <c r="K70"/>
  <c r="K66"/>
  <c r="K69"/>
  <c r="K67"/>
  <c r="K65"/>
  <c r="K64"/>
  <c r="K83"/>
  <c r="K82"/>
  <c r="K81"/>
  <c r="K80"/>
  <c r="K79"/>
  <c r="K78"/>
  <c r="K77"/>
  <c r="K76"/>
  <c r="K75"/>
  <c r="K74"/>
  <c r="K73"/>
  <c r="K72"/>
  <c r="K68"/>
  <c r="K58"/>
  <c r="K57"/>
  <c r="K48"/>
  <c r="D16" s="1"/>
  <c r="K36"/>
  <c r="D15" s="1"/>
  <c r="K31"/>
  <c r="K30"/>
  <c r="K29"/>
  <c r="K28"/>
  <c r="K56"/>
  <c r="K55"/>
  <c r="K54"/>
  <c r="D17" s="1"/>
  <c r="K53"/>
  <c r="K52"/>
  <c r="K51"/>
  <c r="K50"/>
  <c r="D12" s="1"/>
  <c r="K49"/>
  <c r="K47"/>
  <c r="K46"/>
  <c r="K45"/>
  <c r="K44"/>
  <c r="K43"/>
  <c r="K42"/>
  <c r="K41"/>
  <c r="K40"/>
  <c r="K38"/>
  <c r="D9" s="1"/>
  <c r="K37"/>
  <c r="D8" s="1"/>
  <c r="K39"/>
  <c r="K35"/>
  <c r="D10" s="1"/>
  <c r="K34"/>
  <c r="K33"/>
  <c r="K32"/>
  <c r="I22" i="63" l="1"/>
  <c r="D11" i="54"/>
  <c r="D13"/>
  <c r="D14"/>
  <c r="E16" i="4"/>
  <c r="G16"/>
  <c r="H16"/>
  <c r="F17"/>
  <c r="G17" s="1"/>
  <c r="H17"/>
  <c r="E17"/>
  <c r="E18"/>
  <c r="H18"/>
  <c r="F19"/>
  <c r="G19" s="1"/>
  <c r="F20" l="1"/>
  <c r="F21" l="1"/>
  <c r="F22" l="1"/>
  <c r="B23" l="1"/>
  <c r="B24"/>
  <c r="B25"/>
  <c r="B26"/>
  <c r="A8"/>
  <c r="A9"/>
  <c r="A10"/>
  <c r="A11"/>
  <c r="A12"/>
  <c r="A13"/>
  <c r="A14"/>
  <c r="A15"/>
  <c r="A16"/>
  <c r="A17"/>
  <c r="A18"/>
  <c r="A19"/>
  <c r="A20"/>
  <c r="A21"/>
  <c r="A22"/>
  <c r="A23"/>
  <c r="A24"/>
  <c r="A25"/>
  <c r="A26"/>
  <c r="A7"/>
  <c r="G29" i="63" s="1"/>
  <c r="F29" l="1"/>
  <c r="B71" s="1"/>
  <c r="G28"/>
  <c r="D29"/>
  <c r="F28"/>
  <c r="B70" s="1"/>
  <c r="B29"/>
  <c r="D28"/>
  <c r="B28"/>
  <c r="E29"/>
  <c r="E28"/>
  <c r="E70" l="1"/>
  <c r="E71"/>
  <c r="D83"/>
  <c r="L82" s="1"/>
  <c r="E83" l="1"/>
  <c r="M82" s="1"/>
  <c r="AF105" l="1"/>
  <c r="AG112" s="1"/>
  <c r="AF107"/>
  <c r="V100"/>
  <c r="W100" s="1"/>
  <c r="J83" s="1"/>
  <c r="L87" s="1"/>
  <c r="AB110"/>
  <c r="AB105"/>
  <c r="V101"/>
  <c r="W101" s="1"/>
  <c r="J84" s="1"/>
  <c r="L88" s="1"/>
  <c r="AG115" l="1"/>
  <c r="AG113"/>
  <c r="AG114" s="1"/>
  <c r="AG105"/>
  <c r="AF108"/>
  <c r="AF106"/>
  <c r="AB106"/>
  <c r="AC105"/>
  <c r="AC106" s="1"/>
  <c r="AB111"/>
  <c r="AC110"/>
  <c r="AC111" s="1"/>
  <c r="I84"/>
  <c r="I83"/>
  <c r="AG108" l="1"/>
  <c r="AG106" l="1"/>
  <c r="AG107" s="1"/>
  <c r="P95" l="1"/>
  <c r="S95" s="1"/>
  <c r="P96"/>
  <c r="AF93" s="1"/>
  <c r="AD93" l="1"/>
  <c r="AD99" s="1"/>
  <c r="W96"/>
  <c r="S96"/>
  <c r="W95"/>
  <c r="R96"/>
  <c r="R95"/>
  <c r="Q95" s="1"/>
  <c r="AF95"/>
  <c r="AF101"/>
  <c r="AF94"/>
  <c r="AF96" s="1"/>
  <c r="AF97"/>
  <c r="AF98"/>
  <c r="AF100" s="1"/>
  <c r="AF99"/>
  <c r="AD97" l="1"/>
  <c r="AD101"/>
  <c r="AD95"/>
  <c r="AD98"/>
  <c r="AD100" s="1"/>
  <c r="AD94"/>
  <c r="AD96" s="1"/>
  <c r="Q96"/>
  <c r="T96" s="1"/>
  <c r="U96" s="1"/>
  <c r="E89" s="1"/>
  <c r="D89" s="1"/>
  <c r="F89" s="1"/>
  <c r="X95"/>
  <c r="Y95" s="1"/>
  <c r="T95"/>
  <c r="U95" s="1"/>
  <c r="E88" s="1"/>
  <c r="D88" s="1"/>
  <c r="F88" s="1"/>
  <c r="AE93"/>
  <c r="AE101" s="1"/>
  <c r="V96" l="1"/>
  <c r="Z96" s="1"/>
  <c r="AG93"/>
  <c r="AG94" s="1"/>
  <c r="AG100" s="1"/>
  <c r="X96"/>
  <c r="Y96" s="1"/>
  <c r="V95"/>
  <c r="Z95" s="1"/>
  <c r="AE97"/>
  <c r="AE96" s="1"/>
  <c r="AE98" s="1"/>
  <c r="AE94"/>
  <c r="AE100" s="1"/>
  <c r="AE95"/>
  <c r="AE99" s="1"/>
  <c r="AG95" l="1"/>
  <c r="AG99" s="1"/>
  <c r="AG101"/>
  <c r="AG97"/>
  <c r="AG96" s="1"/>
  <c r="AG98" s="1"/>
  <c r="V94"/>
  <c r="Q100"/>
  <c r="G88" s="1"/>
  <c r="P100"/>
  <c r="H88" s="1"/>
  <c r="P101"/>
  <c r="H89" s="1"/>
  <c r="Q101"/>
  <c r="G89" s="1"/>
  <c r="M88" l="1"/>
  <c r="M87"/>
  <c r="J89"/>
  <c r="M85" s="1"/>
  <c r="M84" l="1"/>
  <c r="M83" l="1"/>
  <c r="M86" s="1"/>
  <c r="L70" s="1"/>
  <c r="L86" l="1"/>
  <c r="L59" s="1"/>
  <c r="I88" l="1"/>
  <c r="L90" s="1"/>
  <c r="I87"/>
  <c r="L89" s="1"/>
  <c r="J88" l="1"/>
  <c r="M90" s="1"/>
  <c r="U14" l="1"/>
  <c r="AA24" l="1"/>
  <c r="Y24"/>
  <c r="U15"/>
  <c r="Z24"/>
  <c r="Z15"/>
  <c r="BM7"/>
  <c r="AB24"/>
  <c r="U10" l="1"/>
  <c r="BM6"/>
  <c r="AA25"/>
  <c r="Y25"/>
  <c r="U19"/>
  <c r="U27"/>
  <c r="Y79"/>
  <c r="Z25"/>
  <c r="AB25"/>
  <c r="Z10"/>
  <c r="AA15"/>
  <c r="U11" l="1"/>
  <c r="U12" s="1"/>
  <c r="X39" s="1"/>
  <c r="AB79"/>
  <c r="U23"/>
  <c r="U25" s="1"/>
  <c r="BI38"/>
  <c r="BM38" s="1"/>
  <c r="BN38" s="1"/>
  <c r="BO38" s="1"/>
  <c r="BI16"/>
  <c r="BM16" s="1"/>
  <c r="BN16" s="1"/>
  <c r="BO16" s="1"/>
  <c r="BI27"/>
  <c r="BM27" s="1"/>
  <c r="BN27" s="1"/>
  <c r="BO27" s="1"/>
  <c r="BI29"/>
  <c r="BM29" s="1"/>
  <c r="BN29" s="1"/>
  <c r="BO29" s="1"/>
  <c r="BI18"/>
  <c r="BM18" s="1"/>
  <c r="BN18" s="1"/>
  <c r="BO18" s="1"/>
  <c r="BI35"/>
  <c r="BM35" s="1"/>
  <c r="BN35" s="1"/>
  <c r="BO35" s="1"/>
  <c r="BI22"/>
  <c r="BM22" s="1"/>
  <c r="BN22" s="1"/>
  <c r="BO22" s="1"/>
  <c r="BI39"/>
  <c r="BM39" s="1"/>
  <c r="BN39" s="1"/>
  <c r="BO39" s="1"/>
  <c r="BI23"/>
  <c r="BM23" s="1"/>
  <c r="BN23" s="1"/>
  <c r="BO23" s="1"/>
  <c r="BI11"/>
  <c r="BM11" s="1"/>
  <c r="BN11" s="1"/>
  <c r="BO11" s="1"/>
  <c r="BI32"/>
  <c r="BM32" s="1"/>
  <c r="BN32" s="1"/>
  <c r="BO32" s="1"/>
  <c r="BI24"/>
  <c r="BM24" s="1"/>
  <c r="BN24" s="1"/>
  <c r="BO24" s="1"/>
  <c r="BI20"/>
  <c r="BM20" s="1"/>
  <c r="BN20" s="1"/>
  <c r="BO20" s="1"/>
  <c r="BI15"/>
  <c r="BM15" s="1"/>
  <c r="BN15" s="1"/>
  <c r="BO15" s="1"/>
  <c r="BI21"/>
  <c r="BM21" s="1"/>
  <c r="BN21" s="1"/>
  <c r="BO21" s="1"/>
  <c r="BI34"/>
  <c r="BM34" s="1"/>
  <c r="BN34" s="1"/>
  <c r="BO34" s="1"/>
  <c r="BI33"/>
  <c r="BM33" s="1"/>
  <c r="BN33" s="1"/>
  <c r="BO33" s="1"/>
  <c r="BI12"/>
  <c r="BM12" s="1"/>
  <c r="BN12" s="1"/>
  <c r="BO12" s="1"/>
  <c r="BI37"/>
  <c r="BM37" s="1"/>
  <c r="BN37" s="1"/>
  <c r="BO37" s="1"/>
  <c r="BI30"/>
  <c r="BM30" s="1"/>
  <c r="BN30" s="1"/>
  <c r="BO30" s="1"/>
  <c r="BI36"/>
  <c r="BM36" s="1"/>
  <c r="BN36" s="1"/>
  <c r="BO36" s="1"/>
  <c r="BI28"/>
  <c r="BM28" s="1"/>
  <c r="BN28" s="1"/>
  <c r="BO28" s="1"/>
  <c r="BI14"/>
  <c r="BM14" s="1"/>
  <c r="BN14" s="1"/>
  <c r="BO14" s="1"/>
  <c r="BI19"/>
  <c r="BM19" s="1"/>
  <c r="BN19" s="1"/>
  <c r="BO19" s="1"/>
  <c r="BI13"/>
  <c r="BM13" s="1"/>
  <c r="BN13" s="1"/>
  <c r="BO13" s="1"/>
  <c r="BI25"/>
  <c r="BM25" s="1"/>
  <c r="BN25" s="1"/>
  <c r="BO25" s="1"/>
  <c r="BI26"/>
  <c r="BM26" s="1"/>
  <c r="BN26" s="1"/>
  <c r="BO26" s="1"/>
  <c r="BI31"/>
  <c r="BM31" s="1"/>
  <c r="BN31" s="1"/>
  <c r="BO31" s="1"/>
  <c r="BI17"/>
  <c r="BM17" s="1"/>
  <c r="BN17" s="1"/>
  <c r="BO17" s="1"/>
  <c r="BI10"/>
  <c r="BM10" s="1"/>
  <c r="BN10" s="1"/>
  <c r="BO10" s="1"/>
  <c r="AA10"/>
  <c r="Z11"/>
  <c r="AF47"/>
  <c r="Z20"/>
  <c r="BK6"/>
  <c r="Y78"/>
  <c r="AB78" s="1"/>
  <c r="AB80" s="1"/>
  <c r="AB20"/>
  <c r="AA20"/>
  <c r="Y20"/>
  <c r="X38" l="1"/>
  <c r="Z21"/>
  <c r="Z12"/>
  <c r="AA12" s="1"/>
  <c r="AA21"/>
  <c r="BK7"/>
  <c r="BH15" s="1"/>
  <c r="BJ15" s="1"/>
  <c r="BK15" s="1"/>
  <c r="BL15" s="1"/>
  <c r="AA11"/>
  <c r="AF48"/>
  <c r="AB21"/>
  <c r="Y21"/>
  <c r="T86"/>
  <c r="AB22"/>
  <c r="Z13"/>
  <c r="Z22"/>
  <c r="Y22"/>
  <c r="U13"/>
  <c r="AA22"/>
  <c r="BO40"/>
  <c r="C54" s="1"/>
  <c r="U26"/>
  <c r="U24"/>
  <c r="U21"/>
  <c r="BH10"/>
  <c r="BJ10" s="1"/>
  <c r="BK10" s="1"/>
  <c r="BL10" s="1"/>
  <c r="BH32"/>
  <c r="BJ32" s="1"/>
  <c r="BK32" s="1"/>
  <c r="BL32" s="1"/>
  <c r="BH30"/>
  <c r="BJ30" s="1"/>
  <c r="BK30" s="1"/>
  <c r="BL30" s="1"/>
  <c r="BH13"/>
  <c r="BJ13" s="1"/>
  <c r="BK13" s="1"/>
  <c r="BL13" s="1"/>
  <c r="BH21"/>
  <c r="BJ21" s="1"/>
  <c r="BK21" s="1"/>
  <c r="BL21" s="1"/>
  <c r="BH19"/>
  <c r="BJ19" s="1"/>
  <c r="BK19" s="1"/>
  <c r="BL19" s="1"/>
  <c r="BH14"/>
  <c r="BJ14" s="1"/>
  <c r="BK14" s="1"/>
  <c r="BL14" s="1"/>
  <c r="BH35"/>
  <c r="BJ35" s="1"/>
  <c r="BK35" s="1"/>
  <c r="BL35" s="1"/>
  <c r="BH20"/>
  <c r="BJ20" s="1"/>
  <c r="BK20" s="1"/>
  <c r="BL20" s="1"/>
  <c r="BH12"/>
  <c r="BJ12" s="1"/>
  <c r="BK12" s="1"/>
  <c r="BL12" s="1"/>
  <c r="BH37"/>
  <c r="BJ37" s="1"/>
  <c r="BK37" s="1"/>
  <c r="BL37" s="1"/>
  <c r="BH27"/>
  <c r="BJ27" s="1"/>
  <c r="BK27" s="1"/>
  <c r="BL27" s="1"/>
  <c r="BH17"/>
  <c r="BJ17" s="1"/>
  <c r="BK17" s="1"/>
  <c r="BL17" s="1"/>
  <c r="BH22"/>
  <c r="BJ22" s="1"/>
  <c r="BK22" s="1"/>
  <c r="BL22" s="1"/>
  <c r="BH38"/>
  <c r="BJ38" s="1"/>
  <c r="BK38" s="1"/>
  <c r="BL38" s="1"/>
  <c r="BH11"/>
  <c r="BJ11" s="1"/>
  <c r="BK11" s="1"/>
  <c r="BL11" s="1"/>
  <c r="BH23"/>
  <c r="BJ23" s="1"/>
  <c r="BK23" s="1"/>
  <c r="BL23" s="1"/>
  <c r="BH16"/>
  <c r="BJ16" s="1"/>
  <c r="BK16" s="1"/>
  <c r="BL16" s="1"/>
  <c r="BH25"/>
  <c r="BJ25" s="1"/>
  <c r="BK25" s="1"/>
  <c r="BL25" s="1"/>
  <c r="BH31"/>
  <c r="BJ31" s="1"/>
  <c r="BK31" s="1"/>
  <c r="BL31" s="1"/>
  <c r="BH24"/>
  <c r="BJ24" s="1"/>
  <c r="BK24" s="1"/>
  <c r="BL24" s="1"/>
  <c r="BH33"/>
  <c r="BJ33" s="1"/>
  <c r="BK33" s="1"/>
  <c r="BL33" s="1"/>
  <c r="BH28"/>
  <c r="BJ28" s="1"/>
  <c r="BK28" s="1"/>
  <c r="BL28" s="1"/>
  <c r="BH18" l="1"/>
  <c r="BJ18" s="1"/>
  <c r="BK18" s="1"/>
  <c r="BL18" s="1"/>
  <c r="BH34"/>
  <c r="BJ34" s="1"/>
  <c r="BK34" s="1"/>
  <c r="BL34" s="1"/>
  <c r="BH29"/>
  <c r="BJ29" s="1"/>
  <c r="BK29" s="1"/>
  <c r="BL29" s="1"/>
  <c r="BH39"/>
  <c r="BJ39" s="1"/>
  <c r="BK39" s="1"/>
  <c r="BL39" s="1"/>
  <c r="BH26"/>
  <c r="BJ26" s="1"/>
  <c r="BK26" s="1"/>
  <c r="BL26" s="1"/>
  <c r="BH36"/>
  <c r="BJ36" s="1"/>
  <c r="BK36" s="1"/>
  <c r="BL36" s="1"/>
  <c r="AA23"/>
  <c r="AH17" s="1"/>
  <c r="Y23"/>
  <c r="AS17" s="1"/>
  <c r="Z23"/>
  <c r="AB23"/>
  <c r="Z14"/>
  <c r="AA14" s="1"/>
  <c r="X40"/>
  <c r="X42" s="1"/>
  <c r="X41"/>
  <c r="H25"/>
  <c r="I25"/>
  <c r="AF49"/>
  <c r="AA13"/>
  <c r="BL40"/>
  <c r="C52" s="1"/>
  <c r="U20"/>
  <c r="U22"/>
  <c r="X86"/>
  <c r="AC86"/>
  <c r="AI12" l="1"/>
  <c r="AI16" s="1"/>
  <c r="AI9"/>
  <c r="AI10"/>
  <c r="AJ30" s="1"/>
  <c r="T88"/>
  <c r="X43"/>
  <c r="T87" s="1"/>
  <c r="X87" s="1"/>
  <c r="AT12"/>
  <c r="AT16" s="1"/>
  <c r="AU37" s="1"/>
  <c r="AT10"/>
  <c r="AU30" s="1"/>
  <c r="AT9"/>
  <c r="C53"/>
  <c r="AF86"/>
  <c r="AE86"/>
  <c r="AI11" l="1"/>
  <c r="Y87"/>
  <c r="U87"/>
  <c r="W87"/>
  <c r="Z87"/>
  <c r="AT11"/>
  <c r="X88"/>
  <c r="AC87"/>
  <c r="C55"/>
  <c r="AI14" l="1"/>
  <c r="AI15"/>
  <c r="Z88"/>
  <c r="W88"/>
  <c r="U88"/>
  <c r="Y88"/>
  <c r="AT15"/>
  <c r="AT14"/>
  <c r="AT13" s="1"/>
  <c r="AF87"/>
  <c r="AE87"/>
  <c r="AD87" s="1"/>
  <c r="P94"/>
  <c r="R94" s="1"/>
  <c r="AU21" l="1"/>
  <c r="B54" s="1"/>
  <c r="D54" s="1"/>
  <c r="F54" s="1"/>
  <c r="AI13"/>
  <c r="AU26"/>
  <c r="W94"/>
  <c r="S94"/>
  <c r="Q94" s="1"/>
  <c r="AB93"/>
  <c r="AB98" s="1"/>
  <c r="AB100" s="1"/>
  <c r="T14"/>
  <c r="U41" s="1"/>
  <c r="AC93" l="1"/>
  <c r="T94"/>
  <c r="U94" s="1"/>
  <c r="E87" s="1"/>
  <c r="D87" s="1"/>
  <c r="F87" s="1"/>
  <c r="X94"/>
  <c r="Y94" s="1"/>
  <c r="Z94" s="1"/>
  <c r="E54"/>
  <c r="AJ21"/>
  <c r="AJ37"/>
  <c r="B52" s="1"/>
  <c r="AJ26"/>
  <c r="AB95"/>
  <c r="AB97"/>
  <c r="AB99"/>
  <c r="AB101"/>
  <c r="AB94"/>
  <c r="AB96" s="1"/>
  <c r="Y41"/>
  <c r="T15"/>
  <c r="X15"/>
  <c r="P99" l="1"/>
  <c r="H87" s="1"/>
  <c r="Q99"/>
  <c r="G87" s="1"/>
  <c r="P82"/>
  <c r="I89" s="1"/>
  <c r="J87"/>
  <c r="M89" s="1"/>
  <c r="M92" s="1"/>
  <c r="AC95"/>
  <c r="AC99" s="1"/>
  <c r="AC101"/>
  <c r="AC97"/>
  <c r="AC96" s="1"/>
  <c r="AC98" s="1"/>
  <c r="AC94"/>
  <c r="AC100" s="1"/>
  <c r="B53"/>
  <c r="B55" s="1"/>
  <c r="D52"/>
  <c r="E52"/>
  <c r="Y15"/>
  <c r="T10"/>
  <c r="X10"/>
  <c r="T19"/>
  <c r="M70" l="1"/>
  <c r="J70" s="1"/>
  <c r="L91"/>
  <c r="L92" s="1"/>
  <c r="M59" s="1"/>
  <c r="J59" s="1"/>
  <c r="Q82"/>
  <c r="D53"/>
  <c r="F53" s="1"/>
  <c r="F55" s="1"/>
  <c r="E53"/>
  <c r="E55" s="1"/>
  <c r="I56" s="1"/>
  <c r="T23"/>
  <c r="T27"/>
  <c r="Y10"/>
  <c r="X11"/>
  <c r="T11"/>
  <c r="AE47"/>
  <c r="I70" l="1"/>
  <c r="K67"/>
  <c r="I59"/>
  <c r="L56"/>
  <c r="J56" s="1"/>
  <c r="Q79"/>
  <c r="I54"/>
  <c r="L54"/>
  <c r="J54" s="1"/>
  <c r="U39"/>
  <c r="U43" s="1"/>
  <c r="Y43" s="1"/>
  <c r="T12"/>
  <c r="AA40" s="1"/>
  <c r="D55"/>
  <c r="T25"/>
  <c r="T26" s="1"/>
  <c r="T21"/>
  <c r="T20" s="1"/>
  <c r="Y11"/>
  <c r="V37"/>
  <c r="W37" s="1"/>
  <c r="AE48"/>
  <c r="N52" s="1"/>
  <c r="X12"/>
  <c r="V35" l="1"/>
  <c r="W35" s="1"/>
  <c r="V36"/>
  <c r="W36" s="1"/>
  <c r="Y12"/>
  <c r="V33"/>
  <c r="W33" s="1"/>
  <c r="Y39"/>
  <c r="T13"/>
  <c r="AE49" s="1"/>
  <c r="X13"/>
  <c r="D77"/>
  <c r="A77"/>
  <c r="V32"/>
  <c r="W32" s="1"/>
  <c r="V34"/>
  <c r="W34" s="1"/>
  <c r="U38"/>
  <c r="AL45" s="1"/>
  <c r="W86"/>
  <c r="T78" s="1"/>
  <c r="T24"/>
  <c r="K16"/>
  <c r="O54"/>
  <c r="T22"/>
  <c r="X36"/>
  <c r="X37"/>
  <c r="X33"/>
  <c r="X35"/>
  <c r="X32" l="1"/>
  <c r="T33"/>
  <c r="Y38"/>
  <c r="X34"/>
  <c r="AM45"/>
  <c r="T36"/>
  <c r="T34"/>
  <c r="T35"/>
  <c r="T37"/>
  <c r="U52" s="1"/>
  <c r="V52" s="1"/>
  <c r="W52" s="1"/>
  <c r="Y86"/>
  <c r="Z86" s="1"/>
  <c r="U86"/>
  <c r="Y13"/>
  <c r="X14"/>
  <c r="Y14" s="1"/>
  <c r="V61"/>
  <c r="W61" s="1"/>
  <c r="V59"/>
  <c r="W59" s="1"/>
  <c r="V60"/>
  <c r="W60" s="1"/>
  <c r="V63"/>
  <c r="W63" s="1"/>
  <c r="V58"/>
  <c r="W58" s="1"/>
  <c r="U40"/>
  <c r="V62"/>
  <c r="W62" s="1"/>
  <c r="K25"/>
  <c r="T32"/>
  <c r="U47" s="1"/>
  <c r="AB47" s="1"/>
  <c r="AB40"/>
  <c r="AD86" s="1"/>
  <c r="N57"/>
  <c r="O57" s="1"/>
  <c r="O63"/>
  <c r="N63"/>
  <c r="AP45"/>
  <c r="AL50"/>
  <c r="AL54"/>
  <c r="AL58"/>
  <c r="AL62"/>
  <c r="AL66"/>
  <c r="AL70"/>
  <c r="AL74"/>
  <c r="AL78"/>
  <c r="AL82"/>
  <c r="AL86"/>
  <c r="AL90"/>
  <c r="AL46"/>
  <c r="AL48"/>
  <c r="AL52"/>
  <c r="AL56"/>
  <c r="AL60"/>
  <c r="AL64"/>
  <c r="AL68"/>
  <c r="AL72"/>
  <c r="AL76"/>
  <c r="AL80"/>
  <c r="AL84"/>
  <c r="AL88"/>
  <c r="AL92"/>
  <c r="AL53"/>
  <c r="AL61"/>
  <c r="AL69"/>
  <c r="AL77"/>
  <c r="AL85"/>
  <c r="AL96"/>
  <c r="AL100"/>
  <c r="AL104"/>
  <c r="AL108"/>
  <c r="AL112"/>
  <c r="AL116"/>
  <c r="AL49"/>
  <c r="AL57"/>
  <c r="AL65"/>
  <c r="AL73"/>
  <c r="AL81"/>
  <c r="AL89"/>
  <c r="AL94"/>
  <c r="AL98"/>
  <c r="AL102"/>
  <c r="AL106"/>
  <c r="AL110"/>
  <c r="AL114"/>
  <c r="AL55"/>
  <c r="AL71"/>
  <c r="AL87"/>
  <c r="AL93"/>
  <c r="AL101"/>
  <c r="AL109"/>
  <c r="AL117"/>
  <c r="AL120"/>
  <c r="AL124"/>
  <c r="AL128"/>
  <c r="AL132"/>
  <c r="AL136"/>
  <c r="AL140"/>
  <c r="AL144"/>
  <c r="AL148"/>
  <c r="AL152"/>
  <c r="AL156"/>
  <c r="AL160"/>
  <c r="AL164"/>
  <c r="AL168"/>
  <c r="AL172"/>
  <c r="AL176"/>
  <c r="AL180"/>
  <c r="AL184"/>
  <c r="AL188"/>
  <c r="AL47"/>
  <c r="AL63"/>
  <c r="AL79"/>
  <c r="AL97"/>
  <c r="AL105"/>
  <c r="AL113"/>
  <c r="AL118"/>
  <c r="AL122"/>
  <c r="AL126"/>
  <c r="AL130"/>
  <c r="AL134"/>
  <c r="AL138"/>
  <c r="AL142"/>
  <c r="AL146"/>
  <c r="AL150"/>
  <c r="AL154"/>
  <c r="AL158"/>
  <c r="AL162"/>
  <c r="AL166"/>
  <c r="AL170"/>
  <c r="AL174"/>
  <c r="AL178"/>
  <c r="AL182"/>
  <c r="AL186"/>
  <c r="AL67"/>
  <c r="AL107"/>
  <c r="AL119"/>
  <c r="AL127"/>
  <c r="AL135"/>
  <c r="AL143"/>
  <c r="AL151"/>
  <c r="AL159"/>
  <c r="AL167"/>
  <c r="AL175"/>
  <c r="AL183"/>
  <c r="AL192"/>
  <c r="AL196"/>
  <c r="AL200"/>
  <c r="AL204"/>
  <c r="AL208"/>
  <c r="AL212"/>
  <c r="AL216"/>
  <c r="AL220"/>
  <c r="AL224"/>
  <c r="AL228"/>
  <c r="AL232"/>
  <c r="AL236"/>
  <c r="AL51"/>
  <c r="AL83"/>
  <c r="AL99"/>
  <c r="AL115"/>
  <c r="AL123"/>
  <c r="AL131"/>
  <c r="AL139"/>
  <c r="AL147"/>
  <c r="AL155"/>
  <c r="AL163"/>
  <c r="AL171"/>
  <c r="AL179"/>
  <c r="AL187"/>
  <c r="AL190"/>
  <c r="AL194"/>
  <c r="AL198"/>
  <c r="AL202"/>
  <c r="AL206"/>
  <c r="AL210"/>
  <c r="AL214"/>
  <c r="AL218"/>
  <c r="AL222"/>
  <c r="AL226"/>
  <c r="AL230"/>
  <c r="AL234"/>
  <c r="AL238"/>
  <c r="AL95"/>
  <c r="AL129"/>
  <c r="AL145"/>
  <c r="AL161"/>
  <c r="AL177"/>
  <c r="AL197"/>
  <c r="AL205"/>
  <c r="AL213"/>
  <c r="AL221"/>
  <c r="AL229"/>
  <c r="AL237"/>
  <c r="AL240"/>
  <c r="AL244"/>
  <c r="AL75"/>
  <c r="AL111"/>
  <c r="AL121"/>
  <c r="AL137"/>
  <c r="AL153"/>
  <c r="AL169"/>
  <c r="AL185"/>
  <c r="AL193"/>
  <c r="AL201"/>
  <c r="AL209"/>
  <c r="AL217"/>
  <c r="AL225"/>
  <c r="AL233"/>
  <c r="AL242"/>
  <c r="AL59"/>
  <c r="AL103"/>
  <c r="AL133"/>
  <c r="AL165"/>
  <c r="AL191"/>
  <c r="AL207"/>
  <c r="AL223"/>
  <c r="AL241"/>
  <c r="AL149"/>
  <c r="AL181"/>
  <c r="AL199"/>
  <c r="AL215"/>
  <c r="AL231"/>
  <c r="AL245"/>
  <c r="AK45"/>
  <c r="AL173"/>
  <c r="AL195"/>
  <c r="AL227"/>
  <c r="AL91"/>
  <c r="AL141"/>
  <c r="AL211"/>
  <c r="AL243"/>
  <c r="AL125"/>
  <c r="AL203"/>
  <c r="AL239"/>
  <c r="AL189"/>
  <c r="AL235"/>
  <c r="AL157"/>
  <c r="AL219"/>
  <c r="X52" l="1"/>
  <c r="Y52" s="1"/>
  <c r="V88"/>
  <c r="W47"/>
  <c r="Y47" s="1"/>
  <c r="V86"/>
  <c r="X58"/>
  <c r="AM46"/>
  <c r="V47"/>
  <c r="X62"/>
  <c r="X47"/>
  <c r="X60"/>
  <c r="Z47"/>
  <c r="AA47" s="1"/>
  <c r="U48"/>
  <c r="V48" s="1"/>
  <c r="V87"/>
  <c r="X61"/>
  <c r="T59"/>
  <c r="T63"/>
  <c r="U72" s="1"/>
  <c r="T61"/>
  <c r="Y40"/>
  <c r="AO45"/>
  <c r="AW45" s="1"/>
  <c r="T58"/>
  <c r="U67" s="1"/>
  <c r="T62"/>
  <c r="AN45"/>
  <c r="T60"/>
  <c r="U42"/>
  <c r="U51"/>
  <c r="V51" s="1"/>
  <c r="X59"/>
  <c r="X63"/>
  <c r="C66"/>
  <c r="U50"/>
  <c r="V50" s="1"/>
  <c r="W50" s="1"/>
  <c r="AP239"/>
  <c r="AK239"/>
  <c r="AP195"/>
  <c r="AK195"/>
  <c r="AP149"/>
  <c r="AK149"/>
  <c r="AP191"/>
  <c r="AK191"/>
  <c r="AP217"/>
  <c r="AK217"/>
  <c r="AP121"/>
  <c r="AK121"/>
  <c r="AP213"/>
  <c r="AK213"/>
  <c r="AP238"/>
  <c r="AK238"/>
  <c r="AP190"/>
  <c r="AK190"/>
  <c r="AP235"/>
  <c r="AK235"/>
  <c r="AP125"/>
  <c r="AK125"/>
  <c r="AP91"/>
  <c r="AK91"/>
  <c r="AP199"/>
  <c r="AK199"/>
  <c r="AP223"/>
  <c r="AK223"/>
  <c r="AP133"/>
  <c r="AK133"/>
  <c r="AP233"/>
  <c r="AK233"/>
  <c r="AP201"/>
  <c r="AK201"/>
  <c r="AP153"/>
  <c r="AK153"/>
  <c r="AP75"/>
  <c r="AK75"/>
  <c r="AP229"/>
  <c r="AK229"/>
  <c r="AP197"/>
  <c r="AK197"/>
  <c r="AP129"/>
  <c r="AK129"/>
  <c r="AP230"/>
  <c r="AK230"/>
  <c r="AP214"/>
  <c r="AK214"/>
  <c r="AP198"/>
  <c r="AK198"/>
  <c r="AP179"/>
  <c r="AK179"/>
  <c r="AP147"/>
  <c r="AK147"/>
  <c r="AP115"/>
  <c r="AK115"/>
  <c r="AP236"/>
  <c r="AK236"/>
  <c r="AP220"/>
  <c r="AK220"/>
  <c r="AP204"/>
  <c r="AK204"/>
  <c r="AP183"/>
  <c r="AK183"/>
  <c r="AP151"/>
  <c r="AK151"/>
  <c r="AP119"/>
  <c r="AK119"/>
  <c r="AP182"/>
  <c r="AK182"/>
  <c r="AP166"/>
  <c r="AK166"/>
  <c r="AP150"/>
  <c r="AK150"/>
  <c r="AP134"/>
  <c r="AK134"/>
  <c r="AP118"/>
  <c r="AK118"/>
  <c r="AP79"/>
  <c r="AK79"/>
  <c r="AP184"/>
  <c r="AK184"/>
  <c r="AP168"/>
  <c r="AK168"/>
  <c r="AP152"/>
  <c r="AK152"/>
  <c r="AP136"/>
  <c r="AK136"/>
  <c r="AP120"/>
  <c r="AK120"/>
  <c r="AP93"/>
  <c r="AK93"/>
  <c r="AP114"/>
  <c r="AK114"/>
  <c r="AP98"/>
  <c r="AK98"/>
  <c r="AP73"/>
  <c r="AK73"/>
  <c r="AP116"/>
  <c r="AK116"/>
  <c r="AP100"/>
  <c r="AK100"/>
  <c r="AP69"/>
  <c r="AK69"/>
  <c r="AP88"/>
  <c r="AK88"/>
  <c r="AP72"/>
  <c r="AK72"/>
  <c r="AP56"/>
  <c r="AK56"/>
  <c r="AP90"/>
  <c r="AK90"/>
  <c r="AP74"/>
  <c r="AK74"/>
  <c r="AP58"/>
  <c r="AK58"/>
  <c r="AM47"/>
  <c r="AP189"/>
  <c r="AK189"/>
  <c r="AP243"/>
  <c r="AK243"/>
  <c r="AP227"/>
  <c r="AK227"/>
  <c r="AP245"/>
  <c r="AK245"/>
  <c r="AP181"/>
  <c r="AK181"/>
  <c r="AP207"/>
  <c r="AK207"/>
  <c r="AP103"/>
  <c r="AK103"/>
  <c r="AP225"/>
  <c r="AK225"/>
  <c r="AP193"/>
  <c r="AK193"/>
  <c r="AP137"/>
  <c r="AK137"/>
  <c r="AP244"/>
  <c r="AK244"/>
  <c r="AP221"/>
  <c r="AK221"/>
  <c r="AP177"/>
  <c r="AK177"/>
  <c r="AP95"/>
  <c r="AK95"/>
  <c r="AP226"/>
  <c r="AK226"/>
  <c r="AP210"/>
  <c r="AK210"/>
  <c r="AP194"/>
  <c r="AK194"/>
  <c r="AP171"/>
  <c r="AK171"/>
  <c r="AP139"/>
  <c r="AK139"/>
  <c r="AP99"/>
  <c r="AK99"/>
  <c r="AP232"/>
  <c r="AK232"/>
  <c r="AP216"/>
  <c r="AK216"/>
  <c r="AP200"/>
  <c r="AK200"/>
  <c r="AK175"/>
  <c r="AP175"/>
  <c r="AP143"/>
  <c r="AK143"/>
  <c r="AP107"/>
  <c r="AK107"/>
  <c r="AP178"/>
  <c r="AK178"/>
  <c r="AP162"/>
  <c r="AK162"/>
  <c r="AP146"/>
  <c r="AK146"/>
  <c r="AP130"/>
  <c r="AK130"/>
  <c r="AP113"/>
  <c r="AK113"/>
  <c r="AP63"/>
  <c r="AK63"/>
  <c r="AP180"/>
  <c r="AK180"/>
  <c r="AP164"/>
  <c r="AK164"/>
  <c r="AP148"/>
  <c r="AK148"/>
  <c r="AP132"/>
  <c r="AK132"/>
  <c r="AP117"/>
  <c r="AK117"/>
  <c r="AP87"/>
  <c r="AK87"/>
  <c r="AP110"/>
  <c r="AK110"/>
  <c r="AP94"/>
  <c r="AK94"/>
  <c r="AP65"/>
  <c r="AK65"/>
  <c r="AP112"/>
  <c r="AK112"/>
  <c r="AP96"/>
  <c r="AK96"/>
  <c r="AP61"/>
  <c r="AK61"/>
  <c r="AP84"/>
  <c r="AK84"/>
  <c r="AP68"/>
  <c r="AK68"/>
  <c r="AP52"/>
  <c r="AK52"/>
  <c r="AP86"/>
  <c r="AK86"/>
  <c r="AP70"/>
  <c r="AK70"/>
  <c r="AP54"/>
  <c r="AK54"/>
  <c r="AP219"/>
  <c r="AK219"/>
  <c r="AP211"/>
  <c r="AK211"/>
  <c r="AP231"/>
  <c r="AK231"/>
  <c r="AP59"/>
  <c r="AK59"/>
  <c r="AP185"/>
  <c r="AK185"/>
  <c r="AP240"/>
  <c r="AK240"/>
  <c r="AP161"/>
  <c r="AK161"/>
  <c r="AP222"/>
  <c r="AK222"/>
  <c r="AP206"/>
  <c r="AK206"/>
  <c r="AP163"/>
  <c r="AK163"/>
  <c r="AP131"/>
  <c r="AK131"/>
  <c r="AP83"/>
  <c r="AK83"/>
  <c r="AP228"/>
  <c r="AK228"/>
  <c r="AP212"/>
  <c r="AK212"/>
  <c r="AP196"/>
  <c r="AK196"/>
  <c r="AP167"/>
  <c r="AK167"/>
  <c r="AP135"/>
  <c r="AK135"/>
  <c r="AP67"/>
  <c r="AK67"/>
  <c r="AP174"/>
  <c r="AK174"/>
  <c r="AP158"/>
  <c r="AK158"/>
  <c r="AP142"/>
  <c r="AK142"/>
  <c r="AP126"/>
  <c r="AK126"/>
  <c r="AK105"/>
  <c r="AP105"/>
  <c r="AP47"/>
  <c r="AK47"/>
  <c r="AP176"/>
  <c r="AK176"/>
  <c r="AP160"/>
  <c r="AK160"/>
  <c r="AP144"/>
  <c r="AK144"/>
  <c r="AP128"/>
  <c r="AK128"/>
  <c r="AP109"/>
  <c r="AK109"/>
  <c r="AP71"/>
  <c r="AK71"/>
  <c r="AP106"/>
  <c r="AK106"/>
  <c r="AP89"/>
  <c r="AK89"/>
  <c r="AP57"/>
  <c r="AK57"/>
  <c r="AP108"/>
  <c r="AK108"/>
  <c r="AP85"/>
  <c r="AK85"/>
  <c r="AP53"/>
  <c r="AK53"/>
  <c r="AP80"/>
  <c r="AK80"/>
  <c r="AP64"/>
  <c r="AK64"/>
  <c r="AP48"/>
  <c r="AK48"/>
  <c r="AP82"/>
  <c r="AK82"/>
  <c r="AP66"/>
  <c r="AK66"/>
  <c r="AP50"/>
  <c r="AK50"/>
  <c r="AP157"/>
  <c r="AK157"/>
  <c r="AP203"/>
  <c r="AK203"/>
  <c r="AP141"/>
  <c r="AK141"/>
  <c r="AP173"/>
  <c r="AK173"/>
  <c r="AP215"/>
  <c r="AK215"/>
  <c r="AP241"/>
  <c r="AK241"/>
  <c r="AP165"/>
  <c r="AK165"/>
  <c r="AP242"/>
  <c r="AK242"/>
  <c r="AP209"/>
  <c r="AK209"/>
  <c r="AP169"/>
  <c r="AK169"/>
  <c r="AP111"/>
  <c r="AK111"/>
  <c r="AP237"/>
  <c r="AK237"/>
  <c r="AP205"/>
  <c r="AK205"/>
  <c r="AP145"/>
  <c r="AK145"/>
  <c r="AP234"/>
  <c r="AK234"/>
  <c r="AP218"/>
  <c r="AK218"/>
  <c r="AP202"/>
  <c r="AK202"/>
  <c r="AP187"/>
  <c r="AK187"/>
  <c r="AP155"/>
  <c r="AK155"/>
  <c r="AP123"/>
  <c r="AK123"/>
  <c r="AP51"/>
  <c r="AK51"/>
  <c r="AP224"/>
  <c r="AK224"/>
  <c r="AP208"/>
  <c r="AK208"/>
  <c r="AP192"/>
  <c r="AK192"/>
  <c r="AP159"/>
  <c r="AK159"/>
  <c r="AP127"/>
  <c r="AK127"/>
  <c r="AP186"/>
  <c r="AK186"/>
  <c r="AP170"/>
  <c r="AK170"/>
  <c r="AP154"/>
  <c r="AK154"/>
  <c r="AP138"/>
  <c r="AK138"/>
  <c r="AP122"/>
  <c r="AK122"/>
  <c r="AP97"/>
  <c r="AK97"/>
  <c r="AP188"/>
  <c r="AK188"/>
  <c r="AP172"/>
  <c r="AK172"/>
  <c r="AP156"/>
  <c r="AK156"/>
  <c r="AP140"/>
  <c r="AK140"/>
  <c r="AP124"/>
  <c r="AK124"/>
  <c r="AP101"/>
  <c r="AK101"/>
  <c r="AP55"/>
  <c r="AK55"/>
  <c r="AP102"/>
  <c r="AK102"/>
  <c r="AP81"/>
  <c r="AK81"/>
  <c r="AP49"/>
  <c r="AK49"/>
  <c r="AP104"/>
  <c r="AK104"/>
  <c r="AP77"/>
  <c r="AK77"/>
  <c r="AP92"/>
  <c r="AK92"/>
  <c r="AP76"/>
  <c r="AK76"/>
  <c r="AP60"/>
  <c r="AK60"/>
  <c r="AP46"/>
  <c r="AK46"/>
  <c r="AP78"/>
  <c r="AK78"/>
  <c r="AP62"/>
  <c r="AK62"/>
  <c r="AS45"/>
  <c r="AR45"/>
  <c r="AQ45" s="1"/>
  <c r="AX45" l="1"/>
  <c r="BD45" s="1"/>
  <c r="BE45" s="1"/>
  <c r="U49"/>
  <c r="U53" s="1"/>
  <c r="V73" s="1"/>
  <c r="X48"/>
  <c r="U71"/>
  <c r="U70" s="1"/>
  <c r="V70" s="1"/>
  <c r="W70" s="1"/>
  <c r="X70" s="1"/>
  <c r="Y70" s="1"/>
  <c r="BO45"/>
  <c r="BP45" s="1"/>
  <c r="AV45"/>
  <c r="BF45" s="1"/>
  <c r="BG45" s="1"/>
  <c r="BH45"/>
  <c r="BJ45" s="1"/>
  <c r="BK45" s="1"/>
  <c r="BL45" s="1"/>
  <c r="W48"/>
  <c r="Y48" s="1"/>
  <c r="U68"/>
  <c r="V68" s="1"/>
  <c r="W68" s="1"/>
  <c r="W51"/>
  <c r="X51" s="1"/>
  <c r="Y51" s="1"/>
  <c r="Z51" s="1"/>
  <c r="AN57"/>
  <c r="AN73"/>
  <c r="AN89"/>
  <c r="AN59"/>
  <c r="AN75"/>
  <c r="AN91"/>
  <c r="AN72"/>
  <c r="AN99"/>
  <c r="AN115"/>
  <c r="AN76"/>
  <c r="AN101"/>
  <c r="AN50"/>
  <c r="AN104"/>
  <c r="AN127"/>
  <c r="AN143"/>
  <c r="AN159"/>
  <c r="AN175"/>
  <c r="AN58"/>
  <c r="AN100"/>
  <c r="AN121"/>
  <c r="AN137"/>
  <c r="AN153"/>
  <c r="AN169"/>
  <c r="AN185"/>
  <c r="AN122"/>
  <c r="AN154"/>
  <c r="AN186"/>
  <c r="AN203"/>
  <c r="AN219"/>
  <c r="AN235"/>
  <c r="AN110"/>
  <c r="AN142"/>
  <c r="AN174"/>
  <c r="AN201"/>
  <c r="AN217"/>
  <c r="AN233"/>
  <c r="AN140"/>
  <c r="AN192"/>
  <c r="AN224"/>
  <c r="AN106"/>
  <c r="AN180"/>
  <c r="AN220"/>
  <c r="AN245"/>
  <c r="AN218"/>
  <c r="AN98"/>
  <c r="AN210"/>
  <c r="AN190"/>
  <c r="AN206"/>
  <c r="AN152"/>
  <c r="AN214"/>
  <c r="AN49"/>
  <c r="AN65"/>
  <c r="AN51"/>
  <c r="AN67"/>
  <c r="AN56"/>
  <c r="AN107"/>
  <c r="AN60"/>
  <c r="AN109"/>
  <c r="AN119"/>
  <c r="AN167"/>
  <c r="AN90"/>
  <c r="AN129"/>
  <c r="AN161"/>
  <c r="AN62"/>
  <c r="AN170"/>
  <c r="AN227"/>
  <c r="AN126"/>
  <c r="AN193"/>
  <c r="AN225"/>
  <c r="AN172"/>
  <c r="AN239"/>
  <c r="AN204"/>
  <c r="AN160"/>
  <c r="AN176"/>
  <c r="AN54"/>
  <c r="AN120"/>
  <c r="AN53"/>
  <c r="AN85"/>
  <c r="AN61"/>
  <c r="AN77"/>
  <c r="AN47"/>
  <c r="AN63"/>
  <c r="AN79"/>
  <c r="AN48"/>
  <c r="AN80"/>
  <c r="AN103"/>
  <c r="AN52"/>
  <c r="AN84"/>
  <c r="AN105"/>
  <c r="AN66"/>
  <c r="AN112"/>
  <c r="AN131"/>
  <c r="AN147"/>
  <c r="AN163"/>
  <c r="AN179"/>
  <c r="AN74"/>
  <c r="AN108"/>
  <c r="AN125"/>
  <c r="AN141"/>
  <c r="AN157"/>
  <c r="AN173"/>
  <c r="AN189"/>
  <c r="AN130"/>
  <c r="AN162"/>
  <c r="AN191"/>
  <c r="AN207"/>
  <c r="AN223"/>
  <c r="AN46"/>
  <c r="AO46" s="1"/>
  <c r="AN118"/>
  <c r="AN150"/>
  <c r="AN182"/>
  <c r="AN205"/>
  <c r="AN221"/>
  <c r="AN237"/>
  <c r="AN156"/>
  <c r="AN200"/>
  <c r="AN232"/>
  <c r="AN132"/>
  <c r="AN196"/>
  <c r="AN228"/>
  <c r="AN128"/>
  <c r="AN234"/>
  <c r="AN144"/>
  <c r="AN226"/>
  <c r="AN222"/>
  <c r="AN238"/>
  <c r="AN198"/>
  <c r="AN184"/>
  <c r="AN81"/>
  <c r="AN83"/>
  <c r="AN88"/>
  <c r="AN93"/>
  <c r="AN82"/>
  <c r="AN135"/>
  <c r="AN151"/>
  <c r="AN183"/>
  <c r="AN116"/>
  <c r="AN145"/>
  <c r="AN177"/>
  <c r="AN138"/>
  <c r="AN195"/>
  <c r="AN211"/>
  <c r="AN78"/>
  <c r="AN158"/>
  <c r="AN209"/>
  <c r="AN70"/>
  <c r="AN208"/>
  <c r="AN148"/>
  <c r="AN236"/>
  <c r="AN244"/>
  <c r="AN240"/>
  <c r="AN230"/>
  <c r="AN69"/>
  <c r="AN55"/>
  <c r="AN71"/>
  <c r="AN111"/>
  <c r="AN96"/>
  <c r="AN171"/>
  <c r="AN133"/>
  <c r="AN102"/>
  <c r="AN215"/>
  <c r="AN166"/>
  <c r="AN124"/>
  <c r="AN164"/>
  <c r="AN86"/>
  <c r="AN114"/>
  <c r="AN97"/>
  <c r="AN92"/>
  <c r="AN94"/>
  <c r="AN216"/>
  <c r="AN95"/>
  <c r="AN155"/>
  <c r="AN181"/>
  <c r="AN134"/>
  <c r="AN243"/>
  <c r="AN202"/>
  <c r="AN87"/>
  <c r="AN68"/>
  <c r="AN123"/>
  <c r="AN187"/>
  <c r="AN149"/>
  <c r="AN146"/>
  <c r="AN231"/>
  <c r="AN197"/>
  <c r="AN188"/>
  <c r="AN212"/>
  <c r="AN194"/>
  <c r="AN242"/>
  <c r="AN64"/>
  <c r="AN139"/>
  <c r="AN165"/>
  <c r="AN178"/>
  <c r="AN213"/>
  <c r="AN241"/>
  <c r="AN136"/>
  <c r="AN113"/>
  <c r="AN117"/>
  <c r="AN199"/>
  <c r="AN229"/>
  <c r="AN168"/>
  <c r="Y42"/>
  <c r="T77"/>
  <c r="X67"/>
  <c r="W67"/>
  <c r="Y67" s="1"/>
  <c r="Z67"/>
  <c r="AA67" s="1"/>
  <c r="V67"/>
  <c r="AB67"/>
  <c r="V72"/>
  <c r="W72" s="1"/>
  <c r="X72" s="1"/>
  <c r="Y72" s="1"/>
  <c r="X50"/>
  <c r="Y50" s="1"/>
  <c r="AS46"/>
  <c r="AR46"/>
  <c r="AQ46" s="1"/>
  <c r="AY45"/>
  <c r="AU45"/>
  <c r="AT45"/>
  <c r="AM48"/>
  <c r="AS48" s="1"/>
  <c r="AS47"/>
  <c r="AR47"/>
  <c r="AQ47" s="1"/>
  <c r="V49" l="1"/>
  <c r="W49" s="1"/>
  <c r="X49" s="1"/>
  <c r="BR45"/>
  <c r="AB68"/>
  <c r="V71"/>
  <c r="W71" s="1"/>
  <c r="X71" s="1"/>
  <c r="Y71" s="1"/>
  <c r="U69"/>
  <c r="U73" s="1"/>
  <c r="BI45"/>
  <c r="BQ45"/>
  <c r="BM45"/>
  <c r="BN45" s="1"/>
  <c r="X68"/>
  <c r="BO46"/>
  <c r="BP46" s="1"/>
  <c r="BH46"/>
  <c r="BM46" s="1"/>
  <c r="AV46"/>
  <c r="BF46" s="1"/>
  <c r="BG46" s="1"/>
  <c r="Z68"/>
  <c r="AA68" s="1"/>
  <c r="AO47"/>
  <c r="AX47" s="1"/>
  <c r="BD47" s="1"/>
  <c r="BE47" s="1"/>
  <c r="AW46"/>
  <c r="AX46"/>
  <c r="BD46" s="1"/>
  <c r="BE46" s="1"/>
  <c r="Y68"/>
  <c r="V53"/>
  <c r="BA45"/>
  <c r="BC45"/>
  <c r="BB45"/>
  <c r="AR48"/>
  <c r="AY48"/>
  <c r="BS48" s="1"/>
  <c r="AU48"/>
  <c r="AT48"/>
  <c r="AM49"/>
  <c r="AY47"/>
  <c r="AT47"/>
  <c r="AU47"/>
  <c r="AY46"/>
  <c r="BB46" s="1"/>
  <c r="AU46"/>
  <c r="AT46"/>
  <c r="BS45"/>
  <c r="AZ45"/>
  <c r="Y49" l="1"/>
  <c r="Z52" s="1"/>
  <c r="V69"/>
  <c r="W69" s="1"/>
  <c r="Z70"/>
  <c r="BI46"/>
  <c r="BJ46"/>
  <c r="BK46" s="1"/>
  <c r="BL46" s="1"/>
  <c r="BR46"/>
  <c r="BQ46"/>
  <c r="AV47"/>
  <c r="BF47" s="1"/>
  <c r="BG47" s="1"/>
  <c r="AO48"/>
  <c r="AW47"/>
  <c r="BH47"/>
  <c r="BO47"/>
  <c r="Z50"/>
  <c r="Z48"/>
  <c r="Z49"/>
  <c r="AZ47"/>
  <c r="BC47"/>
  <c r="BC46"/>
  <c r="BB47"/>
  <c r="BC48"/>
  <c r="AQ48"/>
  <c r="AZ48" s="1"/>
  <c r="BA48"/>
  <c r="AA52"/>
  <c r="AA51" s="1"/>
  <c r="AB52"/>
  <c r="BS47"/>
  <c r="BA47"/>
  <c r="AM50"/>
  <c r="AS49"/>
  <c r="AR49"/>
  <c r="AQ49" s="1"/>
  <c r="BN46"/>
  <c r="BS46"/>
  <c r="AZ46"/>
  <c r="BA46"/>
  <c r="X69" l="1"/>
  <c r="Y69" s="1"/>
  <c r="BR47"/>
  <c r="BP47"/>
  <c r="BQ47"/>
  <c r="BM47"/>
  <c r="BN47" s="1"/>
  <c r="BJ47"/>
  <c r="BK47" s="1"/>
  <c r="BL47" s="1"/>
  <c r="BI47"/>
  <c r="BO48"/>
  <c r="AV48"/>
  <c r="BF48" s="1"/>
  <c r="BG48" s="1"/>
  <c r="AO49"/>
  <c r="AX48"/>
  <c r="BD48" s="1"/>
  <c r="BE48" s="1"/>
  <c r="BH48"/>
  <c r="AW48"/>
  <c r="AA48"/>
  <c r="AA49" s="1"/>
  <c r="AB49" s="1"/>
  <c r="AB48"/>
  <c r="AB51"/>
  <c r="AA50"/>
  <c r="AB50" s="1"/>
  <c r="BB48"/>
  <c r="AY49"/>
  <c r="AZ49" s="1"/>
  <c r="AU49"/>
  <c r="AT49"/>
  <c r="AM51"/>
  <c r="AR50"/>
  <c r="AQ50" s="1"/>
  <c r="AS50"/>
  <c r="Z71" l="1"/>
  <c r="AB71" s="1"/>
  <c r="Z69"/>
  <c r="AA69" s="1"/>
  <c r="AB69" s="1"/>
  <c r="Z72"/>
  <c r="BI48"/>
  <c r="BM48"/>
  <c r="BN48" s="1"/>
  <c r="BJ48"/>
  <c r="BK48" s="1"/>
  <c r="BL48" s="1"/>
  <c r="BQ48"/>
  <c r="BR48"/>
  <c r="BP48"/>
  <c r="AW49"/>
  <c r="BO49"/>
  <c r="AV49"/>
  <c r="BF49" s="1"/>
  <c r="BG49" s="1"/>
  <c r="AX49"/>
  <c r="BD49" s="1"/>
  <c r="BE49" s="1"/>
  <c r="AO50"/>
  <c r="BH49"/>
  <c r="H28"/>
  <c r="AB53"/>
  <c r="H29"/>
  <c r="BC49"/>
  <c r="BC50"/>
  <c r="BB49"/>
  <c r="BS49"/>
  <c r="BA49"/>
  <c r="AY50"/>
  <c r="BS50" s="1"/>
  <c r="AU50"/>
  <c r="AT50"/>
  <c r="AM52"/>
  <c r="AR51"/>
  <c r="AQ51" s="1"/>
  <c r="AS51"/>
  <c r="AA72" l="1"/>
  <c r="AA71" s="1"/>
  <c r="AA70" s="1"/>
  <c r="AB70" s="1"/>
  <c r="AB72"/>
  <c r="AV50"/>
  <c r="BF50" s="1"/>
  <c r="BG50" s="1"/>
  <c r="AX50"/>
  <c r="BD50" s="1"/>
  <c r="BE50" s="1"/>
  <c r="AW50"/>
  <c r="AO51"/>
  <c r="BO50"/>
  <c r="BH50"/>
  <c r="BM49"/>
  <c r="BN49" s="1"/>
  <c r="BI49"/>
  <c r="BJ49"/>
  <c r="BK49" s="1"/>
  <c r="BL49" s="1"/>
  <c r="BP49"/>
  <c r="BQ49"/>
  <c r="BR49"/>
  <c r="K29"/>
  <c r="BB50"/>
  <c r="AZ50"/>
  <c r="AY51"/>
  <c r="BS51" s="1"/>
  <c r="AT51"/>
  <c r="AU51"/>
  <c r="BA50"/>
  <c r="AM53"/>
  <c r="AS52"/>
  <c r="AR52"/>
  <c r="AQ52" s="1"/>
  <c r="AB73" l="1"/>
  <c r="AV51"/>
  <c r="BF51" s="1"/>
  <c r="BG51" s="1"/>
  <c r="AO52"/>
  <c r="BO51"/>
  <c r="AX51"/>
  <c r="BD51" s="1"/>
  <c r="BE51" s="1"/>
  <c r="AW51"/>
  <c r="BH51"/>
  <c r="BI50"/>
  <c r="BM50"/>
  <c r="BN50" s="1"/>
  <c r="BJ50"/>
  <c r="BK50" s="1"/>
  <c r="BL50" s="1"/>
  <c r="BP50"/>
  <c r="BQ50"/>
  <c r="BR50"/>
  <c r="BC51"/>
  <c r="BB51"/>
  <c r="AZ51"/>
  <c r="BA51"/>
  <c r="AM54"/>
  <c r="AS53"/>
  <c r="AR53"/>
  <c r="AQ53" s="1"/>
  <c r="AU52"/>
  <c r="AT52"/>
  <c r="AY52"/>
  <c r="AZ52" s="1"/>
  <c r="AV52" l="1"/>
  <c r="BF52" s="1"/>
  <c r="BG52" s="1"/>
  <c r="BO52"/>
  <c r="AX52"/>
  <c r="BD52" s="1"/>
  <c r="BE52" s="1"/>
  <c r="AO53"/>
  <c r="AW52"/>
  <c r="BH52"/>
  <c r="BR51"/>
  <c r="BQ51"/>
  <c r="BP51"/>
  <c r="BI51"/>
  <c r="BM51"/>
  <c r="BN51" s="1"/>
  <c r="BJ51"/>
  <c r="BK51" s="1"/>
  <c r="BL51" s="1"/>
  <c r="BC52"/>
  <c r="BC53"/>
  <c r="BB52"/>
  <c r="BA52"/>
  <c r="AY53"/>
  <c r="BS53" s="1"/>
  <c r="AT53"/>
  <c r="AU53"/>
  <c r="BS52"/>
  <c r="AM55"/>
  <c r="AR54"/>
  <c r="AQ54" s="1"/>
  <c r="AS54"/>
  <c r="BA53" l="1"/>
  <c r="BM52"/>
  <c r="BN52" s="1"/>
  <c r="BJ52"/>
  <c r="BK52" s="1"/>
  <c r="BL52" s="1"/>
  <c r="BI52"/>
  <c r="BQ52"/>
  <c r="BR52"/>
  <c r="BP52"/>
  <c r="AV53"/>
  <c r="BF53" s="1"/>
  <c r="BG53" s="1"/>
  <c r="AX53"/>
  <c r="BD53" s="1"/>
  <c r="BE53" s="1"/>
  <c r="AO54"/>
  <c r="BO53"/>
  <c r="AW53"/>
  <c r="BH53"/>
  <c r="BB53"/>
  <c r="AZ53"/>
  <c r="AY54"/>
  <c r="BA54" s="1"/>
  <c r="AU54"/>
  <c r="AT54"/>
  <c r="AM56"/>
  <c r="AS55"/>
  <c r="AR55"/>
  <c r="AQ55" s="1"/>
  <c r="BJ53" l="1"/>
  <c r="BK53" s="1"/>
  <c r="BL53" s="1"/>
  <c r="BM53"/>
  <c r="BN53" s="1"/>
  <c r="BI53"/>
  <c r="BR53"/>
  <c r="BP53"/>
  <c r="BQ53"/>
  <c r="AV54"/>
  <c r="BF54" s="1"/>
  <c r="BG54" s="1"/>
  <c r="AO55"/>
  <c r="BO54"/>
  <c r="AW54"/>
  <c r="AX54"/>
  <c r="BD54" s="1"/>
  <c r="BE54" s="1"/>
  <c r="BH54"/>
  <c r="BC54"/>
  <c r="BB54"/>
  <c r="BS54"/>
  <c r="AM57"/>
  <c r="AR56"/>
  <c r="AS56"/>
  <c r="AY55"/>
  <c r="BS55" s="1"/>
  <c r="AT55"/>
  <c r="AU55"/>
  <c r="AZ54"/>
  <c r="BP54" l="1"/>
  <c r="BQ54"/>
  <c r="BR54"/>
  <c r="BJ54"/>
  <c r="BK54" s="1"/>
  <c r="BL54" s="1"/>
  <c r="BI54"/>
  <c r="BM54"/>
  <c r="BN54" s="1"/>
  <c r="AV55"/>
  <c r="BF55" s="1"/>
  <c r="BG55" s="1"/>
  <c r="AO56"/>
  <c r="AX55"/>
  <c r="BD55" s="1"/>
  <c r="BE55" s="1"/>
  <c r="BO55"/>
  <c r="AW55"/>
  <c r="BH55"/>
  <c r="BC55"/>
  <c r="AQ56"/>
  <c r="BB55"/>
  <c r="BA55"/>
  <c r="AZ55"/>
  <c r="AM58"/>
  <c r="AS57"/>
  <c r="AR57"/>
  <c r="AY56"/>
  <c r="BS56" s="1"/>
  <c r="AU56"/>
  <c r="AT56"/>
  <c r="BR55" l="1"/>
  <c r="BP55"/>
  <c r="BQ55"/>
  <c r="BI55"/>
  <c r="BM55"/>
  <c r="BN55" s="1"/>
  <c r="BJ55"/>
  <c r="BK55" s="1"/>
  <c r="BL55" s="1"/>
  <c r="AV56"/>
  <c r="BF56" s="1"/>
  <c r="BG56" s="1"/>
  <c r="AO57"/>
  <c r="BO56"/>
  <c r="AX56"/>
  <c r="BD56" s="1"/>
  <c r="BE56" s="1"/>
  <c r="AW56"/>
  <c r="BH56"/>
  <c r="BB56"/>
  <c r="AQ57"/>
  <c r="BC56"/>
  <c r="AZ56"/>
  <c r="AY57"/>
  <c r="BS57" s="1"/>
  <c r="AT57"/>
  <c r="AU57"/>
  <c r="BA56"/>
  <c r="AM59"/>
  <c r="AS58"/>
  <c r="AR58"/>
  <c r="BI56" l="1"/>
  <c r="BM56"/>
  <c r="BN56" s="1"/>
  <c r="BJ56"/>
  <c r="BK56" s="1"/>
  <c r="BL56" s="1"/>
  <c r="AV57"/>
  <c r="BF57" s="1"/>
  <c r="BG57" s="1"/>
  <c r="BO57"/>
  <c r="AW57"/>
  <c r="AX57"/>
  <c r="BD57" s="1"/>
  <c r="BE57" s="1"/>
  <c r="AO58"/>
  <c r="BH57"/>
  <c r="BQ56"/>
  <c r="BR56"/>
  <c r="BP56"/>
  <c r="BB57"/>
  <c r="AQ58"/>
  <c r="BC57"/>
  <c r="AM60"/>
  <c r="AS59"/>
  <c r="AR59"/>
  <c r="AQ59" s="1"/>
  <c r="AY58"/>
  <c r="BS58" s="1"/>
  <c r="AU58"/>
  <c r="AT58"/>
  <c r="BA57"/>
  <c r="AZ57"/>
  <c r="AV58" l="1"/>
  <c r="BF58" s="1"/>
  <c r="BG58" s="1"/>
  <c r="AW58"/>
  <c r="AO59"/>
  <c r="AX58"/>
  <c r="BD58" s="1"/>
  <c r="BE58" s="1"/>
  <c r="BO58"/>
  <c r="BH58"/>
  <c r="BI57"/>
  <c r="BJ57"/>
  <c r="BK57" s="1"/>
  <c r="BL57" s="1"/>
  <c r="BM57"/>
  <c r="BN57" s="1"/>
  <c r="BP57"/>
  <c r="BR57"/>
  <c r="BQ57"/>
  <c r="BB58"/>
  <c r="BC58"/>
  <c r="AZ58"/>
  <c r="AM61"/>
  <c r="AR60"/>
  <c r="AQ60" s="1"/>
  <c r="AS60"/>
  <c r="AT59"/>
  <c r="AY59"/>
  <c r="BS59" s="1"/>
  <c r="AU59"/>
  <c r="BA58"/>
  <c r="AV59" l="1"/>
  <c r="BF59" s="1"/>
  <c r="BG59" s="1"/>
  <c r="AX59"/>
  <c r="BD59" s="1"/>
  <c r="BE59" s="1"/>
  <c r="AW59"/>
  <c r="AO60"/>
  <c r="BO59"/>
  <c r="BH59"/>
  <c r="BM58"/>
  <c r="BN58" s="1"/>
  <c r="BJ58"/>
  <c r="BK58" s="1"/>
  <c r="BL58" s="1"/>
  <c r="BI58"/>
  <c r="BP58"/>
  <c r="BQ58"/>
  <c r="BR58"/>
  <c r="BB59"/>
  <c r="BC59"/>
  <c r="BA59"/>
  <c r="AZ59"/>
  <c r="AY60"/>
  <c r="BS60" s="1"/>
  <c r="AU60"/>
  <c r="AT60"/>
  <c r="AM62"/>
  <c r="AR61"/>
  <c r="AQ61" s="1"/>
  <c r="AS61"/>
  <c r="BJ59" l="1"/>
  <c r="BK59" s="1"/>
  <c r="BL59" s="1"/>
  <c r="BM59"/>
  <c r="BN59" s="1"/>
  <c r="BI59"/>
  <c r="AV60"/>
  <c r="BF60" s="1"/>
  <c r="BG60" s="1"/>
  <c r="AX60"/>
  <c r="BD60" s="1"/>
  <c r="BE60" s="1"/>
  <c r="AO61"/>
  <c r="BO60"/>
  <c r="AW60"/>
  <c r="BH60"/>
  <c r="BP59"/>
  <c r="BQ59"/>
  <c r="BR59"/>
  <c r="BC60"/>
  <c r="BB60"/>
  <c r="AM63"/>
  <c r="AS62"/>
  <c r="AR62"/>
  <c r="AQ62" s="1"/>
  <c r="AY61"/>
  <c r="BS61" s="1"/>
  <c r="AU61"/>
  <c r="AT61"/>
  <c r="AZ60"/>
  <c r="BA60"/>
  <c r="BQ60" l="1"/>
  <c r="BR60"/>
  <c r="BP60"/>
  <c r="AV61"/>
  <c r="BF61" s="1"/>
  <c r="BG61" s="1"/>
  <c r="AX61"/>
  <c r="BD61" s="1"/>
  <c r="BE61" s="1"/>
  <c r="AO62"/>
  <c r="BO61"/>
  <c r="AW61"/>
  <c r="BH61"/>
  <c r="BM60"/>
  <c r="BN60" s="1"/>
  <c r="BJ60"/>
  <c r="BK60" s="1"/>
  <c r="BL60" s="1"/>
  <c r="BI60"/>
  <c r="BA61"/>
  <c r="BC61"/>
  <c r="BB61"/>
  <c r="AZ61"/>
  <c r="AY62"/>
  <c r="BS62" s="1"/>
  <c r="AU62"/>
  <c r="AT62"/>
  <c r="AM64"/>
  <c r="AS63"/>
  <c r="AR63"/>
  <c r="AQ63" s="1"/>
  <c r="BR61" l="1"/>
  <c r="BP61"/>
  <c r="BQ61"/>
  <c r="AV62"/>
  <c r="BF62" s="1"/>
  <c r="BG62" s="1"/>
  <c r="AO63"/>
  <c r="BO62"/>
  <c r="AX62"/>
  <c r="BD62" s="1"/>
  <c r="BE62" s="1"/>
  <c r="AW62"/>
  <c r="BH62"/>
  <c r="BJ61"/>
  <c r="BK61" s="1"/>
  <c r="BL61" s="1"/>
  <c r="BM61"/>
  <c r="BN61" s="1"/>
  <c r="BI61"/>
  <c r="BB62"/>
  <c r="BC62"/>
  <c r="AY63"/>
  <c r="BS63" s="1"/>
  <c r="AT63"/>
  <c r="AU63"/>
  <c r="AZ62"/>
  <c r="BA62"/>
  <c r="AM65"/>
  <c r="AR64"/>
  <c r="AQ64" s="1"/>
  <c r="AS64"/>
  <c r="BP62" l="1"/>
  <c r="BQ62"/>
  <c r="BR62"/>
  <c r="BM62"/>
  <c r="BN62" s="1"/>
  <c r="BI62"/>
  <c r="BJ62"/>
  <c r="BK62" s="1"/>
  <c r="BL62" s="1"/>
  <c r="AV63"/>
  <c r="BF63" s="1"/>
  <c r="BG63" s="1"/>
  <c r="BO63"/>
  <c r="AW63"/>
  <c r="AX63"/>
  <c r="BD63" s="1"/>
  <c r="BE63" s="1"/>
  <c r="AO64"/>
  <c r="BH63"/>
  <c r="BB63"/>
  <c r="BC63"/>
  <c r="AZ63"/>
  <c r="AY64"/>
  <c r="BS64" s="1"/>
  <c r="AU64"/>
  <c r="AT64"/>
  <c r="AM66"/>
  <c r="AR65"/>
  <c r="AQ65" s="1"/>
  <c r="AS65"/>
  <c r="BA63"/>
  <c r="AZ64" l="1"/>
  <c r="BM63"/>
  <c r="BN63" s="1"/>
  <c r="BJ63"/>
  <c r="BK63" s="1"/>
  <c r="BL63" s="1"/>
  <c r="BI63"/>
  <c r="BP63"/>
  <c r="BQ63"/>
  <c r="BR63"/>
  <c r="AV64"/>
  <c r="BF64" s="1"/>
  <c r="BG64" s="1"/>
  <c r="AO65"/>
  <c r="BO64"/>
  <c r="AW64"/>
  <c r="AX64"/>
  <c r="BD64" s="1"/>
  <c r="BE64" s="1"/>
  <c r="BH64"/>
  <c r="BC64"/>
  <c r="BB64"/>
  <c r="AY65"/>
  <c r="BS65" s="1"/>
  <c r="AU65"/>
  <c r="AT65"/>
  <c r="AM67"/>
  <c r="AR66"/>
  <c r="AQ66" s="1"/>
  <c r="AS66"/>
  <c r="BA64"/>
  <c r="BM64" l="1"/>
  <c r="BN64" s="1"/>
  <c r="BI64"/>
  <c r="BJ64"/>
  <c r="BK64" s="1"/>
  <c r="BL64" s="1"/>
  <c r="AV65"/>
  <c r="BF65" s="1"/>
  <c r="BG65" s="1"/>
  <c r="AX65"/>
  <c r="BD65" s="1"/>
  <c r="BE65" s="1"/>
  <c r="AO66"/>
  <c r="BO65"/>
  <c r="AW65"/>
  <c r="BH65"/>
  <c r="BP64"/>
  <c r="BQ64"/>
  <c r="BR64"/>
  <c r="BA65"/>
  <c r="AZ65"/>
  <c r="BC65"/>
  <c r="BB65"/>
  <c r="AY66"/>
  <c r="BS66" s="1"/>
  <c r="AU66"/>
  <c r="AT66"/>
  <c r="AM68"/>
  <c r="AR67"/>
  <c r="AS67"/>
  <c r="AZ66" l="1"/>
  <c r="BR65"/>
  <c r="BQ65"/>
  <c r="BP65"/>
  <c r="AV66"/>
  <c r="BF66" s="1"/>
  <c r="BG66" s="1"/>
  <c r="AO67"/>
  <c r="AX66"/>
  <c r="BD66" s="1"/>
  <c r="BE66" s="1"/>
  <c r="AW66"/>
  <c r="BO66"/>
  <c r="BH66"/>
  <c r="BM65"/>
  <c r="BN65" s="1"/>
  <c r="BI65"/>
  <c r="BJ65"/>
  <c r="BK65" s="1"/>
  <c r="BL65" s="1"/>
  <c r="AQ67"/>
  <c r="BC66"/>
  <c r="BB66"/>
  <c r="BA66"/>
  <c r="AM69"/>
  <c r="AR68"/>
  <c r="AS68"/>
  <c r="AQ68"/>
  <c r="AY67"/>
  <c r="BS67" s="1"/>
  <c r="AT67"/>
  <c r="AU67"/>
  <c r="BQ66" l="1"/>
  <c r="BR66"/>
  <c r="BP66"/>
  <c r="BM66"/>
  <c r="BN66" s="1"/>
  <c r="BI66"/>
  <c r="BJ66"/>
  <c r="BK66" s="1"/>
  <c r="BL66" s="1"/>
  <c r="AV67"/>
  <c r="BF67" s="1"/>
  <c r="BG67" s="1"/>
  <c r="AX67"/>
  <c r="BD67" s="1"/>
  <c r="BE67" s="1"/>
  <c r="AW67"/>
  <c r="AO68"/>
  <c r="BO67"/>
  <c r="BH67"/>
  <c r="BB67"/>
  <c r="BC67"/>
  <c r="BA67"/>
  <c r="AM70"/>
  <c r="AR69"/>
  <c r="AQ69" s="1"/>
  <c r="AS69"/>
  <c r="AU68"/>
  <c r="AT68"/>
  <c r="AY68"/>
  <c r="BS68" s="1"/>
  <c r="AZ67"/>
  <c r="BR67" l="1"/>
  <c r="BQ67"/>
  <c r="BP67"/>
  <c r="AV68"/>
  <c r="BF68" s="1"/>
  <c r="BG68" s="1"/>
  <c r="BO68"/>
  <c r="AX68"/>
  <c r="BD68" s="1"/>
  <c r="BE68" s="1"/>
  <c r="AO69"/>
  <c r="AW68"/>
  <c r="BH68"/>
  <c r="BM67"/>
  <c r="BN67" s="1"/>
  <c r="BJ67"/>
  <c r="BK67" s="1"/>
  <c r="BL67" s="1"/>
  <c r="BI67"/>
  <c r="BB68"/>
  <c r="BC68"/>
  <c r="BA68"/>
  <c r="AZ68"/>
  <c r="AY69"/>
  <c r="BS69" s="1"/>
  <c r="AT69"/>
  <c r="AU69"/>
  <c r="AM71"/>
  <c r="AR70"/>
  <c r="AQ70" s="1"/>
  <c r="AS70"/>
  <c r="AV69" l="1"/>
  <c r="BF69" s="1"/>
  <c r="BG69" s="1"/>
  <c r="AW69"/>
  <c r="BO69"/>
  <c r="AX69"/>
  <c r="BD69" s="1"/>
  <c r="BE69" s="1"/>
  <c r="AO70"/>
  <c r="BH69"/>
  <c r="BJ68"/>
  <c r="BK68" s="1"/>
  <c r="BL68" s="1"/>
  <c r="BM68"/>
  <c r="BN68" s="1"/>
  <c r="BI68"/>
  <c r="BP68"/>
  <c r="BQ68"/>
  <c r="BR68"/>
  <c r="BB69"/>
  <c r="BC69"/>
  <c r="AZ69"/>
  <c r="BA69"/>
  <c r="AY70"/>
  <c r="BS70" s="1"/>
  <c r="AU70"/>
  <c r="AT70"/>
  <c r="AM72"/>
  <c r="AR71"/>
  <c r="AS71"/>
  <c r="BQ69" l="1"/>
  <c r="BR69"/>
  <c r="BP69"/>
  <c r="AV70"/>
  <c r="BF70" s="1"/>
  <c r="BG70" s="1"/>
  <c r="BO70"/>
  <c r="AX70"/>
  <c r="BD70" s="1"/>
  <c r="BE70" s="1"/>
  <c r="AW70"/>
  <c r="AO71"/>
  <c r="BH70"/>
  <c r="BM69"/>
  <c r="BN69" s="1"/>
  <c r="BI69"/>
  <c r="BJ69"/>
  <c r="BK69" s="1"/>
  <c r="BL69" s="1"/>
  <c r="BB70"/>
  <c r="AQ71"/>
  <c r="BC70"/>
  <c r="AM73"/>
  <c r="AS72"/>
  <c r="AR72"/>
  <c r="AQ72" s="1"/>
  <c r="AY71"/>
  <c r="BS71" s="1"/>
  <c r="AT71"/>
  <c r="AU71"/>
  <c r="BA70"/>
  <c r="AZ70"/>
  <c r="AZ71" l="1"/>
  <c r="AV71"/>
  <c r="BF71" s="1"/>
  <c r="BG71" s="1"/>
  <c r="AO72"/>
  <c r="BO71"/>
  <c r="AX71"/>
  <c r="BD71" s="1"/>
  <c r="BE71" s="1"/>
  <c r="AW71"/>
  <c r="BH71"/>
  <c r="BJ70"/>
  <c r="BK70" s="1"/>
  <c r="BL70" s="1"/>
  <c r="BI70"/>
  <c r="BM70"/>
  <c r="BN70" s="1"/>
  <c r="BQ70"/>
  <c r="BP70"/>
  <c r="BR70"/>
  <c r="BA71"/>
  <c r="BB71"/>
  <c r="BC72"/>
  <c r="BC71"/>
  <c r="AY72"/>
  <c r="BS72" s="1"/>
  <c r="AU72"/>
  <c r="AT72"/>
  <c r="AM74"/>
  <c r="AS73"/>
  <c r="AR73"/>
  <c r="BP71" l="1"/>
  <c r="BQ71"/>
  <c r="BR71"/>
  <c r="BM71"/>
  <c r="BN71" s="1"/>
  <c r="BJ71"/>
  <c r="BK71" s="1"/>
  <c r="BL71" s="1"/>
  <c r="BI71"/>
  <c r="AV72"/>
  <c r="BF72" s="1"/>
  <c r="BG72" s="1"/>
  <c r="BO72"/>
  <c r="AW72"/>
  <c r="AX72"/>
  <c r="BD72" s="1"/>
  <c r="BE72" s="1"/>
  <c r="AO73"/>
  <c r="BH72"/>
  <c r="AQ73"/>
  <c r="BB73" s="1"/>
  <c r="BB72"/>
  <c r="AZ72"/>
  <c r="AY73"/>
  <c r="BS73" s="1"/>
  <c r="AT73"/>
  <c r="AU73"/>
  <c r="BA72"/>
  <c r="AM75"/>
  <c r="AS74"/>
  <c r="AR74"/>
  <c r="BM72" l="1"/>
  <c r="BN72" s="1"/>
  <c r="BJ72"/>
  <c r="BK72" s="1"/>
  <c r="BL72" s="1"/>
  <c r="BI72"/>
  <c r="BR72"/>
  <c r="BP72"/>
  <c r="BQ72"/>
  <c r="AV73"/>
  <c r="BF73" s="1"/>
  <c r="BG73" s="1"/>
  <c r="AX73"/>
  <c r="BD73" s="1"/>
  <c r="BE73" s="1"/>
  <c r="AO74"/>
  <c r="BO73"/>
  <c r="AW73"/>
  <c r="BH73"/>
  <c r="AQ74"/>
  <c r="BC73"/>
  <c r="AM76"/>
  <c r="AS75"/>
  <c r="AR75"/>
  <c r="AY74"/>
  <c r="BS74" s="1"/>
  <c r="AU74"/>
  <c r="AT74"/>
  <c r="AZ73"/>
  <c r="BA73"/>
  <c r="BI73" l="1"/>
  <c r="BJ73"/>
  <c r="BK73" s="1"/>
  <c r="BL73" s="1"/>
  <c r="BM73"/>
  <c r="BN73" s="1"/>
  <c r="BQ73"/>
  <c r="BP73"/>
  <c r="BR73"/>
  <c r="AV74"/>
  <c r="BF74" s="1"/>
  <c r="BG74" s="1"/>
  <c r="AX74"/>
  <c r="BD74" s="1"/>
  <c r="BE74" s="1"/>
  <c r="AO75"/>
  <c r="BO74"/>
  <c r="AW74"/>
  <c r="BH74"/>
  <c r="BB74"/>
  <c r="AQ75"/>
  <c r="BC74"/>
  <c r="AZ74"/>
  <c r="AT75"/>
  <c r="AU75"/>
  <c r="AY75"/>
  <c r="BS75" s="1"/>
  <c r="AM77"/>
  <c r="AR76"/>
  <c r="AQ76" s="1"/>
  <c r="AS76"/>
  <c r="BA74"/>
  <c r="BP74" l="1"/>
  <c r="BR74"/>
  <c r="BQ74"/>
  <c r="AV75"/>
  <c r="BF75" s="1"/>
  <c r="BG75" s="1"/>
  <c r="AW75"/>
  <c r="AO76"/>
  <c r="BO75"/>
  <c r="AX75"/>
  <c r="BD75" s="1"/>
  <c r="BE75" s="1"/>
  <c r="BH75"/>
  <c r="BJ74"/>
  <c r="BK74" s="1"/>
  <c r="BL74" s="1"/>
  <c r="BI74"/>
  <c r="BM74"/>
  <c r="BN74" s="1"/>
  <c r="BB75"/>
  <c r="BC75"/>
  <c r="BA75"/>
  <c r="AZ75"/>
  <c r="AU76"/>
  <c r="AY76"/>
  <c r="BS76" s="1"/>
  <c r="AT76"/>
  <c r="AM78"/>
  <c r="AS77"/>
  <c r="AR77"/>
  <c r="AQ77" s="1"/>
  <c r="BM75" l="1"/>
  <c r="BN75" s="1"/>
  <c r="BI75"/>
  <c r="BJ75"/>
  <c r="BK75" s="1"/>
  <c r="BL75" s="1"/>
  <c r="BR75"/>
  <c r="BQ75"/>
  <c r="BP75"/>
  <c r="AV76"/>
  <c r="BF76" s="1"/>
  <c r="BG76" s="1"/>
  <c r="AX76"/>
  <c r="BD76" s="1"/>
  <c r="BE76" s="1"/>
  <c r="AW76"/>
  <c r="AO77"/>
  <c r="BO76"/>
  <c r="BH76"/>
  <c r="BC76"/>
  <c r="BB77"/>
  <c r="BC77"/>
  <c r="BB76"/>
  <c r="AZ76"/>
  <c r="AY77"/>
  <c r="BS77" s="1"/>
  <c r="AU77"/>
  <c r="AT77"/>
  <c r="AM79"/>
  <c r="AR78"/>
  <c r="AQ78" s="1"/>
  <c r="AS78"/>
  <c r="BA76"/>
  <c r="AV77" l="1"/>
  <c r="BF77" s="1"/>
  <c r="BG77" s="1"/>
  <c r="AO78"/>
  <c r="BO77"/>
  <c r="AX77"/>
  <c r="BD77" s="1"/>
  <c r="BE77" s="1"/>
  <c r="AW77"/>
  <c r="BH77"/>
  <c r="BI76"/>
  <c r="BM76"/>
  <c r="BN76" s="1"/>
  <c r="BJ76"/>
  <c r="BK76" s="1"/>
  <c r="BL76" s="1"/>
  <c r="BP76"/>
  <c r="BQ76"/>
  <c r="BR76"/>
  <c r="AZ77"/>
  <c r="AY78"/>
  <c r="BS78" s="1"/>
  <c r="AU78"/>
  <c r="AT78"/>
  <c r="AM80"/>
  <c r="AR79"/>
  <c r="AQ79" s="1"/>
  <c r="AS79"/>
  <c r="BA77"/>
  <c r="BA78" l="1"/>
  <c r="BQ77"/>
  <c r="BR77"/>
  <c r="BP77"/>
  <c r="BM77"/>
  <c r="BN77" s="1"/>
  <c r="BI77"/>
  <c r="BJ77"/>
  <c r="BK77" s="1"/>
  <c r="BL77" s="1"/>
  <c r="AV78"/>
  <c r="BF78" s="1"/>
  <c r="BG78" s="1"/>
  <c r="AW78"/>
  <c r="AX78"/>
  <c r="BD78" s="1"/>
  <c r="BE78" s="1"/>
  <c r="AO79"/>
  <c r="BO78"/>
  <c r="BH78"/>
  <c r="BC78"/>
  <c r="BB79"/>
  <c r="BB78"/>
  <c r="AM81"/>
  <c r="AR80"/>
  <c r="AS80"/>
  <c r="AZ78"/>
  <c r="AY79"/>
  <c r="BS79" s="1"/>
  <c r="AT79"/>
  <c r="AU79"/>
  <c r="BQ78" l="1"/>
  <c r="BR78"/>
  <c r="BP78"/>
  <c r="AV79"/>
  <c r="BF79" s="1"/>
  <c r="BG79" s="1"/>
  <c r="AO80"/>
  <c r="BO79"/>
  <c r="AW79"/>
  <c r="AX79"/>
  <c r="BD79" s="1"/>
  <c r="BE79" s="1"/>
  <c r="BH79"/>
  <c r="BJ78"/>
  <c r="BK78" s="1"/>
  <c r="BL78" s="1"/>
  <c r="BI78"/>
  <c r="BM78"/>
  <c r="BN78" s="1"/>
  <c r="AQ80"/>
  <c r="BC79"/>
  <c r="BA79"/>
  <c r="AZ79"/>
  <c r="AM82"/>
  <c r="AR81"/>
  <c r="AS81"/>
  <c r="AY80"/>
  <c r="BS80" s="1"/>
  <c r="AU80"/>
  <c r="AT80"/>
  <c r="BR79" l="1"/>
  <c r="BP79"/>
  <c r="BQ79"/>
  <c r="BM79"/>
  <c r="BN79" s="1"/>
  <c r="BJ79"/>
  <c r="BK79" s="1"/>
  <c r="BL79" s="1"/>
  <c r="BI79"/>
  <c r="AV80"/>
  <c r="BF80" s="1"/>
  <c r="BG80" s="1"/>
  <c r="AX80"/>
  <c r="BD80" s="1"/>
  <c r="BE80" s="1"/>
  <c r="BO80"/>
  <c r="AW80"/>
  <c r="AO81"/>
  <c r="BH80"/>
  <c r="BB80"/>
  <c r="AQ81"/>
  <c r="BB81" s="1"/>
  <c r="BC80"/>
  <c r="AZ80"/>
  <c r="BA80"/>
  <c r="AY81"/>
  <c r="BS81" s="1"/>
  <c r="AU81"/>
  <c r="AT81"/>
  <c r="AM83"/>
  <c r="AS82"/>
  <c r="AR82"/>
  <c r="AQ82" s="1"/>
  <c r="BJ80" l="1"/>
  <c r="BK80" s="1"/>
  <c r="BL80" s="1"/>
  <c r="BI80"/>
  <c r="BM80"/>
  <c r="BN80" s="1"/>
  <c r="AV81"/>
  <c r="BF81" s="1"/>
  <c r="BG81" s="1"/>
  <c r="AW81"/>
  <c r="AX81"/>
  <c r="BD81" s="1"/>
  <c r="BE81" s="1"/>
  <c r="BO81"/>
  <c r="AO82"/>
  <c r="BH81"/>
  <c r="BQ80"/>
  <c r="BR80"/>
  <c r="BP80"/>
  <c r="AZ81"/>
  <c r="BC82"/>
  <c r="BC81"/>
  <c r="AM84"/>
  <c r="AS83"/>
  <c r="AR83"/>
  <c r="AQ83" s="1"/>
  <c r="AY82"/>
  <c r="BS82" s="1"/>
  <c r="AU82"/>
  <c r="AT82"/>
  <c r="BA81"/>
  <c r="AV82" l="1"/>
  <c r="BF82" s="1"/>
  <c r="BG82" s="1"/>
  <c r="BO82"/>
  <c r="AW82"/>
  <c r="AX82"/>
  <c r="BD82" s="1"/>
  <c r="BE82" s="1"/>
  <c r="AO83"/>
  <c r="BH82"/>
  <c r="BP81"/>
  <c r="BR81"/>
  <c r="BQ81"/>
  <c r="BI81"/>
  <c r="BJ81"/>
  <c r="BK81" s="1"/>
  <c r="BL81" s="1"/>
  <c r="BM81"/>
  <c r="BN81" s="1"/>
  <c r="BC83"/>
  <c r="BB82"/>
  <c r="AY83"/>
  <c r="BS83" s="1"/>
  <c r="AT83"/>
  <c r="AU83"/>
  <c r="AZ82"/>
  <c r="AM85"/>
  <c r="AR84"/>
  <c r="AS84"/>
  <c r="BA82"/>
  <c r="BA83" l="1"/>
  <c r="AZ83"/>
  <c r="BM82"/>
  <c r="BN82" s="1"/>
  <c r="BJ82"/>
  <c r="BK82" s="1"/>
  <c r="BL82" s="1"/>
  <c r="BI82"/>
  <c r="BR82"/>
  <c r="BQ82"/>
  <c r="BP82"/>
  <c r="AV83"/>
  <c r="BF83" s="1"/>
  <c r="BG83" s="1"/>
  <c r="AO84"/>
  <c r="BO83"/>
  <c r="AW83"/>
  <c r="AX83"/>
  <c r="BD83" s="1"/>
  <c r="BE83" s="1"/>
  <c r="BH83"/>
  <c r="AQ84"/>
  <c r="BB83"/>
  <c r="AU84"/>
  <c r="AY84"/>
  <c r="BS84" s="1"/>
  <c r="AT84"/>
  <c r="AM86"/>
  <c r="AS85"/>
  <c r="AR85"/>
  <c r="AQ85" s="1"/>
  <c r="BP83" l="1"/>
  <c r="BR83"/>
  <c r="BQ83"/>
  <c r="BM83"/>
  <c r="BN83" s="1"/>
  <c r="BJ83"/>
  <c r="BK83" s="1"/>
  <c r="BL83" s="1"/>
  <c r="BI83"/>
  <c r="AV84"/>
  <c r="BF84" s="1"/>
  <c r="BG84" s="1"/>
  <c r="AO85"/>
  <c r="AX84"/>
  <c r="BD84" s="1"/>
  <c r="BE84" s="1"/>
  <c r="AW84"/>
  <c r="BO84"/>
  <c r="BH84"/>
  <c r="BB84"/>
  <c r="BC84"/>
  <c r="AZ84"/>
  <c r="AY85"/>
  <c r="BS85" s="1"/>
  <c r="AU85"/>
  <c r="AT85"/>
  <c r="BA84"/>
  <c r="AM87"/>
  <c r="AS86"/>
  <c r="AR86"/>
  <c r="AQ86" s="1"/>
  <c r="BM84" l="1"/>
  <c r="BN84" s="1"/>
  <c r="BJ84"/>
  <c r="BK84" s="1"/>
  <c r="BL84" s="1"/>
  <c r="BI84"/>
  <c r="AV85"/>
  <c r="BF85" s="1"/>
  <c r="BG85" s="1"/>
  <c r="BO85"/>
  <c r="AW85"/>
  <c r="AX85"/>
  <c r="BD85" s="1"/>
  <c r="BE85" s="1"/>
  <c r="AO86"/>
  <c r="BH85"/>
  <c r="BQ84"/>
  <c r="BR84"/>
  <c r="BP84"/>
  <c r="BC85"/>
  <c r="BB85"/>
  <c r="AZ85"/>
  <c r="BA85"/>
  <c r="AY86"/>
  <c r="BS86" s="1"/>
  <c r="AU86"/>
  <c r="AT86"/>
  <c r="AM88"/>
  <c r="AS87"/>
  <c r="AR87"/>
  <c r="AQ87" s="1"/>
  <c r="AV86" l="1"/>
  <c r="BF86" s="1"/>
  <c r="BG86" s="1"/>
  <c r="AW86"/>
  <c r="AX86"/>
  <c r="BD86" s="1"/>
  <c r="BE86" s="1"/>
  <c r="BO86"/>
  <c r="AO87"/>
  <c r="BH86"/>
  <c r="BM85"/>
  <c r="BN85" s="1"/>
  <c r="BI85"/>
  <c r="BJ85"/>
  <c r="BK85" s="1"/>
  <c r="BL85" s="1"/>
  <c r="BR85"/>
  <c r="BP85"/>
  <c r="BQ85"/>
  <c r="BB86"/>
  <c r="BC86"/>
  <c r="BA86"/>
  <c r="AZ86"/>
  <c r="AM89"/>
  <c r="AR88"/>
  <c r="AS88"/>
  <c r="AY87"/>
  <c r="BS87" s="1"/>
  <c r="AT87"/>
  <c r="AU87"/>
  <c r="BP86" l="1"/>
  <c r="BQ86"/>
  <c r="BR86"/>
  <c r="BM86"/>
  <c r="BN86" s="1"/>
  <c r="BJ86"/>
  <c r="BK86" s="1"/>
  <c r="BL86" s="1"/>
  <c r="BI86"/>
  <c r="AV87"/>
  <c r="BF87" s="1"/>
  <c r="BG87" s="1"/>
  <c r="AO88"/>
  <c r="BO87"/>
  <c r="AX87"/>
  <c r="BD87" s="1"/>
  <c r="BE87" s="1"/>
  <c r="AW87"/>
  <c r="BH87"/>
  <c r="BC87"/>
  <c r="AQ88"/>
  <c r="BB87"/>
  <c r="AZ87"/>
  <c r="BA87"/>
  <c r="AY88"/>
  <c r="BS88" s="1"/>
  <c r="AU88"/>
  <c r="AT88"/>
  <c r="AM90"/>
  <c r="AS89"/>
  <c r="AR89"/>
  <c r="AQ89" s="1"/>
  <c r="BP87" l="1"/>
  <c r="BQ87"/>
  <c r="BR87"/>
  <c r="BM87"/>
  <c r="BN87" s="1"/>
  <c r="BJ87"/>
  <c r="BK87" s="1"/>
  <c r="BL87" s="1"/>
  <c r="BI87"/>
  <c r="AV88"/>
  <c r="BF88" s="1"/>
  <c r="BG88" s="1"/>
  <c r="AO89"/>
  <c r="BO88"/>
  <c r="AX88"/>
  <c r="BD88" s="1"/>
  <c r="BE88" s="1"/>
  <c r="AW88"/>
  <c r="BH88"/>
  <c r="BB88"/>
  <c r="BC88"/>
  <c r="AM91"/>
  <c r="AR90"/>
  <c r="AQ90" s="1"/>
  <c r="AS90"/>
  <c r="BA88"/>
  <c r="AY89"/>
  <c r="BS89" s="1"/>
  <c r="AT89"/>
  <c r="AU89"/>
  <c r="AZ88"/>
  <c r="BI88" l="1"/>
  <c r="BM88"/>
  <c r="BN88" s="1"/>
  <c r="BJ88"/>
  <c r="BK88" s="1"/>
  <c r="BL88" s="1"/>
  <c r="AV89"/>
  <c r="BF89" s="1"/>
  <c r="BG89" s="1"/>
  <c r="BO89"/>
  <c r="AW89"/>
  <c r="AX89"/>
  <c r="BD89" s="1"/>
  <c r="BE89" s="1"/>
  <c r="AO90"/>
  <c r="BH89"/>
  <c r="BQ88"/>
  <c r="BR88"/>
  <c r="BP88"/>
  <c r="BB89"/>
  <c r="BC89"/>
  <c r="AY90"/>
  <c r="BS90" s="1"/>
  <c r="AU90"/>
  <c r="AT90"/>
  <c r="BA89"/>
  <c r="AZ89"/>
  <c r="AM92"/>
  <c r="AR91"/>
  <c r="AS91"/>
  <c r="BM89" l="1"/>
  <c r="BN89" s="1"/>
  <c r="BJ89"/>
  <c r="BK89" s="1"/>
  <c r="BL89" s="1"/>
  <c r="BI89"/>
  <c r="BR89"/>
  <c r="BQ89"/>
  <c r="BP89"/>
  <c r="AV90"/>
  <c r="BF90" s="1"/>
  <c r="BG90" s="1"/>
  <c r="AX90"/>
  <c r="BD90" s="1"/>
  <c r="BE90" s="1"/>
  <c r="AO91"/>
  <c r="AW90"/>
  <c r="BO90"/>
  <c r="BH90"/>
  <c r="BC90"/>
  <c r="AQ91"/>
  <c r="BB90"/>
  <c r="AZ90"/>
  <c r="BA90"/>
  <c r="AM93"/>
  <c r="AS92"/>
  <c r="AR92"/>
  <c r="AQ92" s="1"/>
  <c r="AT91"/>
  <c r="AY91"/>
  <c r="BS91" s="1"/>
  <c r="AU91"/>
  <c r="BM90" l="1"/>
  <c r="BN90" s="1"/>
  <c r="BI90"/>
  <c r="BJ90"/>
  <c r="BK90" s="1"/>
  <c r="BL90" s="1"/>
  <c r="BP90"/>
  <c r="BQ90"/>
  <c r="BR90"/>
  <c r="AV91"/>
  <c r="BF91" s="1"/>
  <c r="BG91" s="1"/>
  <c r="AO92"/>
  <c r="BO91"/>
  <c r="AW91"/>
  <c r="AX91"/>
  <c r="BD91" s="1"/>
  <c r="BE91" s="1"/>
  <c r="BH91"/>
  <c r="BB91"/>
  <c r="BC91"/>
  <c r="AM94"/>
  <c r="AS93"/>
  <c r="AR93"/>
  <c r="AQ93" s="1"/>
  <c r="AZ91"/>
  <c r="AY92"/>
  <c r="BS92" s="1"/>
  <c r="AU92"/>
  <c r="AT92"/>
  <c r="BA91"/>
  <c r="BR91" l="1"/>
  <c r="BQ91"/>
  <c r="BP91"/>
  <c r="BM91"/>
  <c r="BN91" s="1"/>
  <c r="BI91"/>
  <c r="BJ91"/>
  <c r="BK91" s="1"/>
  <c r="BL91" s="1"/>
  <c r="AV92"/>
  <c r="BF92" s="1"/>
  <c r="BG92" s="1"/>
  <c r="BO92"/>
  <c r="AO93"/>
  <c r="AX92"/>
  <c r="BD92" s="1"/>
  <c r="BE92" s="1"/>
  <c r="AW92"/>
  <c r="BH92"/>
  <c r="BC92"/>
  <c r="AZ92"/>
  <c r="BB92"/>
  <c r="AY93"/>
  <c r="BS93" s="1"/>
  <c r="AU93"/>
  <c r="AT93"/>
  <c r="AM95"/>
  <c r="AS94"/>
  <c r="AR94"/>
  <c r="BA92"/>
  <c r="BM92" l="1"/>
  <c r="BN92" s="1"/>
  <c r="BJ92"/>
  <c r="BK92" s="1"/>
  <c r="BL92" s="1"/>
  <c r="BI92"/>
  <c r="BR92"/>
  <c r="BP92"/>
  <c r="BQ92"/>
  <c r="AV93"/>
  <c r="BF93" s="1"/>
  <c r="BG93" s="1"/>
  <c r="AW93"/>
  <c r="AO94"/>
  <c r="BO93"/>
  <c r="AX93"/>
  <c r="BD93" s="1"/>
  <c r="BE93" s="1"/>
  <c r="BH93"/>
  <c r="BC93"/>
  <c r="AQ94"/>
  <c r="BB93"/>
  <c r="AY94"/>
  <c r="BS94" s="1"/>
  <c r="AU94"/>
  <c r="AT94"/>
  <c r="BA93"/>
  <c r="AZ93"/>
  <c r="AM96"/>
  <c r="AR95"/>
  <c r="AQ95" s="1"/>
  <c r="AS95"/>
  <c r="AV94" l="1"/>
  <c r="BF94" s="1"/>
  <c r="BG94" s="1"/>
  <c r="BO94"/>
  <c r="AW94"/>
  <c r="AX94"/>
  <c r="BD94" s="1"/>
  <c r="BE94" s="1"/>
  <c r="AO95"/>
  <c r="BH94"/>
  <c r="BQ93"/>
  <c r="BR93"/>
  <c r="BP93"/>
  <c r="BI93"/>
  <c r="BJ93"/>
  <c r="BK93" s="1"/>
  <c r="BL93" s="1"/>
  <c r="BM93"/>
  <c r="BN93" s="1"/>
  <c r="AZ94"/>
  <c r="BA94"/>
  <c r="BB94"/>
  <c r="BC94"/>
  <c r="AY95"/>
  <c r="BS95" s="1"/>
  <c r="AT95"/>
  <c r="AU95"/>
  <c r="AM97"/>
  <c r="AS96"/>
  <c r="AR96"/>
  <c r="BM94" l="1"/>
  <c r="BN94" s="1"/>
  <c r="BJ94"/>
  <c r="BK94" s="1"/>
  <c r="BL94" s="1"/>
  <c r="BI94"/>
  <c r="BQ94"/>
  <c r="BR94"/>
  <c r="BP94"/>
  <c r="AV95"/>
  <c r="BF95" s="1"/>
  <c r="BG95" s="1"/>
  <c r="AW95"/>
  <c r="BO95"/>
  <c r="AX95"/>
  <c r="BD95" s="1"/>
  <c r="BE95" s="1"/>
  <c r="AO96"/>
  <c r="BH95"/>
  <c r="BB95"/>
  <c r="AQ96"/>
  <c r="BC95"/>
  <c r="AM98"/>
  <c r="AS97"/>
  <c r="AR97"/>
  <c r="AQ97" s="1"/>
  <c r="AY96"/>
  <c r="BS96" s="1"/>
  <c r="AU96"/>
  <c r="AT96"/>
  <c r="AZ95"/>
  <c r="BA95"/>
  <c r="BQ95" l="1"/>
  <c r="BR95"/>
  <c r="BP95"/>
  <c r="AV96"/>
  <c r="BF96" s="1"/>
  <c r="BG96" s="1"/>
  <c r="BO96"/>
  <c r="AW96"/>
  <c r="AX96"/>
  <c r="BD96" s="1"/>
  <c r="BE96" s="1"/>
  <c r="AO97"/>
  <c r="BH96"/>
  <c r="BM95"/>
  <c r="BN95" s="1"/>
  <c r="BJ95"/>
  <c r="BK95" s="1"/>
  <c r="BL95" s="1"/>
  <c r="BI95"/>
  <c r="BB96"/>
  <c r="BC96"/>
  <c r="BA96"/>
  <c r="AZ96"/>
  <c r="AY97"/>
  <c r="BS97" s="1"/>
  <c r="AU97"/>
  <c r="AT97"/>
  <c r="AM99"/>
  <c r="AR98"/>
  <c r="AS98"/>
  <c r="BQ96" l="1"/>
  <c r="BP96"/>
  <c r="BR96"/>
  <c r="BJ96"/>
  <c r="BK96" s="1"/>
  <c r="BL96" s="1"/>
  <c r="BI96"/>
  <c r="BM96"/>
  <c r="BN96" s="1"/>
  <c r="AV97"/>
  <c r="BF97" s="1"/>
  <c r="BG97" s="1"/>
  <c r="AO98"/>
  <c r="BO97"/>
  <c r="AX97"/>
  <c r="BD97" s="1"/>
  <c r="BE97" s="1"/>
  <c r="AW97"/>
  <c r="BH97"/>
  <c r="AZ97"/>
  <c r="BC97"/>
  <c r="AQ98"/>
  <c r="BB97"/>
  <c r="AY98"/>
  <c r="BS98" s="1"/>
  <c r="AU98"/>
  <c r="AT98"/>
  <c r="AM100"/>
  <c r="AS99"/>
  <c r="AR99"/>
  <c r="AQ99" s="1"/>
  <c r="BA97"/>
  <c r="BA98" l="1"/>
  <c r="BM97"/>
  <c r="BN97" s="1"/>
  <c r="BI97"/>
  <c r="BJ97"/>
  <c r="BK97" s="1"/>
  <c r="BL97" s="1"/>
  <c r="AV98"/>
  <c r="BF98" s="1"/>
  <c r="BG98" s="1"/>
  <c r="AO99"/>
  <c r="AX98"/>
  <c r="BD98" s="1"/>
  <c r="BE98" s="1"/>
  <c r="AW98"/>
  <c r="BO98"/>
  <c r="BH98"/>
  <c r="BP97"/>
  <c r="BQ97"/>
  <c r="BR97"/>
  <c r="AZ98"/>
  <c r="BB98"/>
  <c r="BC98"/>
  <c r="AY99"/>
  <c r="BS99" s="1"/>
  <c r="AT99"/>
  <c r="AU99"/>
  <c r="AM101"/>
  <c r="AR100"/>
  <c r="AQ100" s="1"/>
  <c r="AS100"/>
  <c r="BR98" l="1"/>
  <c r="BP98"/>
  <c r="BQ98"/>
  <c r="BB99"/>
  <c r="BI98"/>
  <c r="BJ98"/>
  <c r="BK98" s="1"/>
  <c r="BL98" s="1"/>
  <c r="BM98"/>
  <c r="BN98" s="1"/>
  <c r="AV99"/>
  <c r="BF99" s="1"/>
  <c r="BG99" s="1"/>
  <c r="AO100"/>
  <c r="AX99"/>
  <c r="BD99" s="1"/>
  <c r="BE99" s="1"/>
  <c r="AW99"/>
  <c r="BO99"/>
  <c r="BH99"/>
  <c r="AZ99"/>
  <c r="BC99"/>
  <c r="AU100"/>
  <c r="AT100"/>
  <c r="AY100"/>
  <c r="BS100" s="1"/>
  <c r="AM102"/>
  <c r="AS101"/>
  <c r="AR101"/>
  <c r="AQ101" s="1"/>
  <c r="BA99"/>
  <c r="BP99" l="1"/>
  <c r="BR99"/>
  <c r="BQ99"/>
  <c r="BJ99"/>
  <c r="BK99" s="1"/>
  <c r="BL99" s="1"/>
  <c r="BI99"/>
  <c r="BM99"/>
  <c r="BN99" s="1"/>
  <c r="AV100"/>
  <c r="BF100" s="1"/>
  <c r="BG100" s="1"/>
  <c r="BO100"/>
  <c r="AW100"/>
  <c r="AO101"/>
  <c r="AX100"/>
  <c r="BD100" s="1"/>
  <c r="BE100" s="1"/>
  <c r="BH100"/>
  <c r="BC100"/>
  <c r="BB100"/>
  <c r="BA100"/>
  <c r="AZ100"/>
  <c r="AT101"/>
  <c r="AY101"/>
  <c r="BS101" s="1"/>
  <c r="AU101"/>
  <c r="AM103"/>
  <c r="AS102"/>
  <c r="AR102"/>
  <c r="AQ102" s="1"/>
  <c r="AV101" l="1"/>
  <c r="BF101" s="1"/>
  <c r="BG101" s="1"/>
  <c r="AO102"/>
  <c r="BO101"/>
  <c r="AW101"/>
  <c r="AX101"/>
  <c r="BD101" s="1"/>
  <c r="BE101" s="1"/>
  <c r="BH101"/>
  <c r="BM100"/>
  <c r="BN100" s="1"/>
  <c r="BI100"/>
  <c r="BJ100"/>
  <c r="BK100" s="1"/>
  <c r="BL100" s="1"/>
  <c r="BP100"/>
  <c r="BR100"/>
  <c r="BQ100"/>
  <c r="BA101"/>
  <c r="BC101"/>
  <c r="AZ101"/>
  <c r="AY102"/>
  <c r="BS102" s="1"/>
  <c r="AU102"/>
  <c r="AT102"/>
  <c r="AM104"/>
  <c r="AS103"/>
  <c r="AR103"/>
  <c r="AQ103" s="1"/>
  <c r="BB101"/>
  <c r="BC102" l="1"/>
  <c r="BM101"/>
  <c r="BN101" s="1"/>
  <c r="BJ101"/>
  <c r="BK101" s="1"/>
  <c r="BL101" s="1"/>
  <c r="BI101"/>
  <c r="BP101"/>
  <c r="BQ101"/>
  <c r="BR101"/>
  <c r="AV102"/>
  <c r="BF102" s="1"/>
  <c r="BG102" s="1"/>
  <c r="AO103"/>
  <c r="BO102"/>
  <c r="AX102"/>
  <c r="BD102" s="1"/>
  <c r="BE102" s="1"/>
  <c r="AW102"/>
  <c r="BH102"/>
  <c r="BB102"/>
  <c r="BA102"/>
  <c r="AZ102"/>
  <c r="AT103"/>
  <c r="AY103"/>
  <c r="BS103" s="1"/>
  <c r="AU103"/>
  <c r="AM105"/>
  <c r="AR104"/>
  <c r="AQ104" s="1"/>
  <c r="AS104"/>
  <c r="BP102" l="1"/>
  <c r="BQ102"/>
  <c r="BR102"/>
  <c r="BM102"/>
  <c r="BN102" s="1"/>
  <c r="BI102"/>
  <c r="BJ102"/>
  <c r="BK102" s="1"/>
  <c r="BL102" s="1"/>
  <c r="AV103"/>
  <c r="BF103" s="1"/>
  <c r="BG103" s="1"/>
  <c r="AO104"/>
  <c r="BO103"/>
  <c r="AW103"/>
  <c r="AX103"/>
  <c r="BD103" s="1"/>
  <c r="BE103" s="1"/>
  <c r="BH103"/>
  <c r="BA103"/>
  <c r="AZ103"/>
  <c r="AM106"/>
  <c r="AS105"/>
  <c r="AR105"/>
  <c r="AQ105" s="1"/>
  <c r="BC103"/>
  <c r="BB103"/>
  <c r="AY104"/>
  <c r="BS104" s="1"/>
  <c r="AU104"/>
  <c r="AT104"/>
  <c r="BI103" l="1"/>
  <c r="BM103"/>
  <c r="BN103" s="1"/>
  <c r="BJ103"/>
  <c r="BK103" s="1"/>
  <c r="BL103" s="1"/>
  <c r="AV104"/>
  <c r="BF104" s="1"/>
  <c r="BG104" s="1"/>
  <c r="AO105"/>
  <c r="BO104"/>
  <c r="AW104"/>
  <c r="AX104"/>
  <c r="BD104" s="1"/>
  <c r="BE104" s="1"/>
  <c r="BH104"/>
  <c r="BP103"/>
  <c r="BQ103"/>
  <c r="BR103"/>
  <c r="AZ104"/>
  <c r="BA104"/>
  <c r="BB104"/>
  <c r="AT105"/>
  <c r="AY105"/>
  <c r="BS105" s="1"/>
  <c r="AU105"/>
  <c r="AM107"/>
  <c r="AS106"/>
  <c r="AR106"/>
  <c r="AQ106" s="1"/>
  <c r="BC104"/>
  <c r="BQ104" l="1"/>
  <c r="BR104"/>
  <c r="BP104"/>
  <c r="BJ104"/>
  <c r="BK104" s="1"/>
  <c r="BL104" s="1"/>
  <c r="BI104"/>
  <c r="BM104"/>
  <c r="BN104" s="1"/>
  <c r="AV105"/>
  <c r="BF105" s="1"/>
  <c r="BG105" s="1"/>
  <c r="BO105"/>
  <c r="AW105"/>
  <c r="AX105"/>
  <c r="BD105" s="1"/>
  <c r="BE105" s="1"/>
  <c r="AO106"/>
  <c r="BH105"/>
  <c r="AZ105"/>
  <c r="BA105"/>
  <c r="AM108"/>
  <c r="AR107"/>
  <c r="AQ107" s="1"/>
  <c r="AS107"/>
  <c r="AY106"/>
  <c r="BS106" s="1"/>
  <c r="AU106"/>
  <c r="AT106"/>
  <c r="BC105"/>
  <c r="BB105"/>
  <c r="BI105" l="1"/>
  <c r="BM105"/>
  <c r="BN105" s="1"/>
  <c r="BJ105"/>
  <c r="BK105" s="1"/>
  <c r="BL105" s="1"/>
  <c r="BR105"/>
  <c r="BP105"/>
  <c r="BQ105"/>
  <c r="AV106"/>
  <c r="BF106" s="1"/>
  <c r="BG106" s="1"/>
  <c r="AW106"/>
  <c r="AX106"/>
  <c r="BD106" s="1"/>
  <c r="BE106" s="1"/>
  <c r="AO107"/>
  <c r="BO106"/>
  <c r="BH106"/>
  <c r="BB106"/>
  <c r="AZ106"/>
  <c r="BA106"/>
  <c r="AM109"/>
  <c r="AR108"/>
  <c r="AQ108" s="1"/>
  <c r="AS108"/>
  <c r="AT107"/>
  <c r="AY107"/>
  <c r="BS107" s="1"/>
  <c r="AU107"/>
  <c r="BC106"/>
  <c r="BP106" l="1"/>
  <c r="BQ106"/>
  <c r="BR106"/>
  <c r="AV107"/>
  <c r="BF107" s="1"/>
  <c r="BG107" s="1"/>
  <c r="AO108"/>
  <c r="BO107"/>
  <c r="AW107"/>
  <c r="AX107"/>
  <c r="BD107" s="1"/>
  <c r="BE107" s="1"/>
  <c r="BH107"/>
  <c r="BI106"/>
  <c r="BJ106"/>
  <c r="BK106" s="1"/>
  <c r="BL106" s="1"/>
  <c r="BM106"/>
  <c r="BN106" s="1"/>
  <c r="AZ107"/>
  <c r="BA107"/>
  <c r="BB107"/>
  <c r="AM110"/>
  <c r="AS109"/>
  <c r="AR109"/>
  <c r="AQ109" s="1"/>
  <c r="AY108"/>
  <c r="BS108" s="1"/>
  <c r="AU108"/>
  <c r="AT108"/>
  <c r="BC107"/>
  <c r="BQ107" l="1"/>
  <c r="BR107"/>
  <c r="BP107"/>
  <c r="BM107"/>
  <c r="BN107" s="1"/>
  <c r="BI107"/>
  <c r="BJ107"/>
  <c r="BK107" s="1"/>
  <c r="BL107" s="1"/>
  <c r="AV108"/>
  <c r="BF108" s="1"/>
  <c r="BG108" s="1"/>
  <c r="AW108"/>
  <c r="AO109"/>
  <c r="AX108"/>
  <c r="BD108" s="1"/>
  <c r="BE108" s="1"/>
  <c r="BO108"/>
  <c r="BH108"/>
  <c r="BC108"/>
  <c r="BB108"/>
  <c r="AZ108"/>
  <c r="BA108"/>
  <c r="AM111"/>
  <c r="AS110"/>
  <c r="AR110"/>
  <c r="AQ110" s="1"/>
  <c r="AY109"/>
  <c r="BS109" s="1"/>
  <c r="AU109"/>
  <c r="AT109"/>
  <c r="BQ108" l="1"/>
  <c r="BR108"/>
  <c r="BP108"/>
  <c r="AV109"/>
  <c r="BF109" s="1"/>
  <c r="BG109" s="1"/>
  <c r="AO110"/>
  <c r="BO109"/>
  <c r="AX109"/>
  <c r="BD109" s="1"/>
  <c r="BE109" s="1"/>
  <c r="AW109"/>
  <c r="BH109"/>
  <c r="BM108"/>
  <c r="BN108" s="1"/>
  <c r="BJ108"/>
  <c r="BK108" s="1"/>
  <c r="BL108" s="1"/>
  <c r="BI108"/>
  <c r="BB109"/>
  <c r="BC109"/>
  <c r="BA109"/>
  <c r="AZ109"/>
  <c r="AY110"/>
  <c r="BS110" s="1"/>
  <c r="AU110"/>
  <c r="AT110"/>
  <c r="AM112"/>
  <c r="AS111"/>
  <c r="AR111"/>
  <c r="AQ111" s="1"/>
  <c r="BQ109" l="1"/>
  <c r="BP109"/>
  <c r="BR109"/>
  <c r="BM109"/>
  <c r="BN109" s="1"/>
  <c r="BI109"/>
  <c r="BJ109"/>
  <c r="BK109" s="1"/>
  <c r="BL109" s="1"/>
  <c r="AV110"/>
  <c r="BF110" s="1"/>
  <c r="BG110" s="1"/>
  <c r="AW110"/>
  <c r="AX110"/>
  <c r="BD110" s="1"/>
  <c r="BE110" s="1"/>
  <c r="AO111"/>
  <c r="BO110"/>
  <c r="BH110"/>
  <c r="BC110"/>
  <c r="BA110"/>
  <c r="AZ110"/>
  <c r="BB110"/>
  <c r="AT111"/>
  <c r="AY111"/>
  <c r="BS111" s="1"/>
  <c r="AU111"/>
  <c r="AM113"/>
  <c r="AR112"/>
  <c r="AQ112" s="1"/>
  <c r="AS112"/>
  <c r="BJ110" l="1"/>
  <c r="BK110" s="1"/>
  <c r="BL110" s="1"/>
  <c r="BI110"/>
  <c r="BM110"/>
  <c r="BN110" s="1"/>
  <c r="BP110"/>
  <c r="BR110"/>
  <c r="BQ110"/>
  <c r="AV111"/>
  <c r="BF111" s="1"/>
  <c r="BG111" s="1"/>
  <c r="AO112"/>
  <c r="BO111"/>
  <c r="AW111"/>
  <c r="AX111"/>
  <c r="BD111" s="1"/>
  <c r="BE111" s="1"/>
  <c r="BH111"/>
  <c r="AZ111"/>
  <c r="BA111"/>
  <c r="AM114"/>
  <c r="AS113"/>
  <c r="AR113"/>
  <c r="AQ113" s="1"/>
  <c r="AY112"/>
  <c r="BS112" s="1"/>
  <c r="AU112"/>
  <c r="AT112"/>
  <c r="BC111"/>
  <c r="BB111"/>
  <c r="BP111" l="1"/>
  <c r="BQ111"/>
  <c r="BR111"/>
  <c r="BM111"/>
  <c r="BN111" s="1"/>
  <c r="BI111"/>
  <c r="BJ111"/>
  <c r="BK111" s="1"/>
  <c r="BL111" s="1"/>
  <c r="AV112"/>
  <c r="BF112" s="1"/>
  <c r="BG112" s="1"/>
  <c r="BO112"/>
  <c r="AW112"/>
  <c r="AX112"/>
  <c r="BD112" s="1"/>
  <c r="BE112" s="1"/>
  <c r="AO113"/>
  <c r="BH112"/>
  <c r="BA112"/>
  <c r="AZ112"/>
  <c r="AY113"/>
  <c r="BS113" s="1"/>
  <c r="AU113"/>
  <c r="AT113"/>
  <c r="BC112"/>
  <c r="AM115"/>
  <c r="AR114"/>
  <c r="AQ114" s="1"/>
  <c r="AS114"/>
  <c r="BB112"/>
  <c r="AV113" l="1"/>
  <c r="BF113" s="1"/>
  <c r="BG113" s="1"/>
  <c r="AO114"/>
  <c r="AW113"/>
  <c r="AX113"/>
  <c r="BD113" s="1"/>
  <c r="BE113" s="1"/>
  <c r="BO113"/>
  <c r="BH113"/>
  <c r="BC113"/>
  <c r="BM112"/>
  <c r="BN112" s="1"/>
  <c r="BJ112"/>
  <c r="BK112" s="1"/>
  <c r="BL112" s="1"/>
  <c r="BI112"/>
  <c r="BQ112"/>
  <c r="BR112"/>
  <c r="BP112"/>
  <c r="BB113"/>
  <c r="BA113"/>
  <c r="AZ113"/>
  <c r="AM116"/>
  <c r="AR115"/>
  <c r="AQ115" s="1"/>
  <c r="AS115"/>
  <c r="AY114"/>
  <c r="BS114" s="1"/>
  <c r="AU114"/>
  <c r="AT114"/>
  <c r="BI113" l="1"/>
  <c r="BM113"/>
  <c r="BN113" s="1"/>
  <c r="BJ113"/>
  <c r="BK113" s="1"/>
  <c r="BL113" s="1"/>
  <c r="AV114"/>
  <c r="BF114" s="1"/>
  <c r="BG114" s="1"/>
  <c r="AW114"/>
  <c r="AX114"/>
  <c r="BD114" s="1"/>
  <c r="BE114" s="1"/>
  <c r="AO115"/>
  <c r="BO114"/>
  <c r="BH114"/>
  <c r="BR113"/>
  <c r="BP113"/>
  <c r="BQ113"/>
  <c r="BC114"/>
  <c r="BA114"/>
  <c r="AZ114"/>
  <c r="AT115"/>
  <c r="AY115"/>
  <c r="BS115" s="1"/>
  <c r="AU115"/>
  <c r="BB114"/>
  <c r="AM117"/>
  <c r="AS116"/>
  <c r="AR116"/>
  <c r="AQ116" s="1"/>
  <c r="BR114" l="1"/>
  <c r="BP114"/>
  <c r="BQ114"/>
  <c r="AV115"/>
  <c r="BF115" s="1"/>
  <c r="BG115" s="1"/>
  <c r="AX115"/>
  <c r="BD115" s="1"/>
  <c r="BE115" s="1"/>
  <c r="AW115"/>
  <c r="AO116"/>
  <c r="BO115"/>
  <c r="BH115"/>
  <c r="BI114"/>
  <c r="BJ114"/>
  <c r="BK114" s="1"/>
  <c r="BL114" s="1"/>
  <c r="BM114"/>
  <c r="BN114" s="1"/>
  <c r="BC115"/>
  <c r="AZ115"/>
  <c r="BA115"/>
  <c r="AM118"/>
  <c r="AS117"/>
  <c r="AR117"/>
  <c r="AQ117" s="1"/>
  <c r="AY116"/>
  <c r="BS116" s="1"/>
  <c r="AU116"/>
  <c r="AT116"/>
  <c r="BB115"/>
  <c r="BR115" l="1"/>
  <c r="BP115"/>
  <c r="BQ115"/>
  <c r="AV116"/>
  <c r="BF116" s="1"/>
  <c r="BG116" s="1"/>
  <c r="AX116"/>
  <c r="BD116" s="1"/>
  <c r="BE116" s="1"/>
  <c r="AO117"/>
  <c r="BO116"/>
  <c r="AW116"/>
  <c r="BH116"/>
  <c r="BM115"/>
  <c r="BN115" s="1"/>
  <c r="BJ115"/>
  <c r="BK115" s="1"/>
  <c r="BL115" s="1"/>
  <c r="BI115"/>
  <c r="BA116"/>
  <c r="AZ116"/>
  <c r="AT117"/>
  <c r="AY117"/>
  <c r="BS117" s="1"/>
  <c r="AU117"/>
  <c r="BB116"/>
  <c r="AM119"/>
  <c r="AR118"/>
  <c r="AQ118" s="1"/>
  <c r="AS118"/>
  <c r="BC116"/>
  <c r="BQ116" l="1"/>
  <c r="BR116"/>
  <c r="BP116"/>
  <c r="AV117"/>
  <c r="BF117" s="1"/>
  <c r="BG117" s="1"/>
  <c r="BO117"/>
  <c r="AX117"/>
  <c r="BD117" s="1"/>
  <c r="BE117" s="1"/>
  <c r="AO118"/>
  <c r="AW117"/>
  <c r="BH117"/>
  <c r="BM116"/>
  <c r="BN116" s="1"/>
  <c r="BJ116"/>
  <c r="BK116" s="1"/>
  <c r="BL116" s="1"/>
  <c r="BI116"/>
  <c r="AZ117"/>
  <c r="BA117"/>
  <c r="BB117"/>
  <c r="AY118"/>
  <c r="BS118" s="1"/>
  <c r="AU118"/>
  <c r="AT118"/>
  <c r="AM120"/>
  <c r="AS119"/>
  <c r="AR119"/>
  <c r="AQ119" s="1"/>
  <c r="BC117"/>
  <c r="AV118" l="1"/>
  <c r="BF118" s="1"/>
  <c r="BG118" s="1"/>
  <c r="AX118"/>
  <c r="BD118" s="1"/>
  <c r="BE118" s="1"/>
  <c r="AW118"/>
  <c r="BO118"/>
  <c r="AO119"/>
  <c r="BH118"/>
  <c r="BM117"/>
  <c r="BN117" s="1"/>
  <c r="BI117"/>
  <c r="BJ117"/>
  <c r="BK117" s="1"/>
  <c r="BL117" s="1"/>
  <c r="BP117"/>
  <c r="BR117"/>
  <c r="BQ117"/>
  <c r="BC118"/>
  <c r="BA118"/>
  <c r="AZ118"/>
  <c r="AT119"/>
  <c r="AY119"/>
  <c r="BS119" s="1"/>
  <c r="AU119"/>
  <c r="AM121"/>
  <c r="AS120"/>
  <c r="AR120"/>
  <c r="AQ120" s="1"/>
  <c r="BB118"/>
  <c r="BQ118" l="1"/>
  <c r="BR118"/>
  <c r="BP118"/>
  <c r="BI118"/>
  <c r="BJ118"/>
  <c r="BK118" s="1"/>
  <c r="BL118" s="1"/>
  <c r="BM118"/>
  <c r="BN118" s="1"/>
  <c r="AV119"/>
  <c r="BF119" s="1"/>
  <c r="BG119" s="1"/>
  <c r="BO119"/>
  <c r="AW119"/>
  <c r="AX119"/>
  <c r="BD119" s="1"/>
  <c r="BE119" s="1"/>
  <c r="AO120"/>
  <c r="BH119"/>
  <c r="BA119"/>
  <c r="AZ119"/>
  <c r="AM122"/>
  <c r="AS121"/>
  <c r="AR121"/>
  <c r="AQ121" s="1"/>
  <c r="BC119"/>
  <c r="AY120"/>
  <c r="BS120" s="1"/>
  <c r="AU120"/>
  <c r="AT120"/>
  <c r="BB119"/>
  <c r="BJ119" l="1"/>
  <c r="BK119" s="1"/>
  <c r="BL119" s="1"/>
  <c r="BI119"/>
  <c r="BM119"/>
  <c r="BN119" s="1"/>
  <c r="BP119"/>
  <c r="BQ119"/>
  <c r="BR119"/>
  <c r="AV120"/>
  <c r="BF120" s="1"/>
  <c r="BG120" s="1"/>
  <c r="AW120"/>
  <c r="AX120"/>
  <c r="BD120" s="1"/>
  <c r="BE120" s="1"/>
  <c r="BO120"/>
  <c r="AO121"/>
  <c r="BH120"/>
  <c r="BA120"/>
  <c r="AZ120"/>
  <c r="AT121"/>
  <c r="AY121"/>
  <c r="BS121" s="1"/>
  <c r="AU121"/>
  <c r="BB120"/>
  <c r="AM123"/>
  <c r="AR122"/>
  <c r="AQ122" s="1"/>
  <c r="AS122"/>
  <c r="BC120"/>
  <c r="BJ120" l="1"/>
  <c r="BK120" s="1"/>
  <c r="BL120" s="1"/>
  <c r="BI120"/>
  <c r="BM120"/>
  <c r="BN120" s="1"/>
  <c r="AV121"/>
  <c r="BF121" s="1"/>
  <c r="BG121" s="1"/>
  <c r="AW121"/>
  <c r="AO122"/>
  <c r="BO121"/>
  <c r="AX121"/>
  <c r="BD121" s="1"/>
  <c r="BE121" s="1"/>
  <c r="BH121"/>
  <c r="BP120"/>
  <c r="BQ120"/>
  <c r="BR120"/>
  <c r="BC121"/>
  <c r="BB121"/>
  <c r="BA121"/>
  <c r="AZ121"/>
  <c r="AM124"/>
  <c r="AR123"/>
  <c r="AQ123" s="1"/>
  <c r="AS123"/>
  <c r="AY122"/>
  <c r="BS122" s="1"/>
  <c r="AU122"/>
  <c r="AT122"/>
  <c r="BP121" l="1"/>
  <c r="BQ121"/>
  <c r="BR121"/>
  <c r="AV122"/>
  <c r="BF122" s="1"/>
  <c r="BG122" s="1"/>
  <c r="AW122"/>
  <c r="AX122"/>
  <c r="BD122" s="1"/>
  <c r="BE122" s="1"/>
  <c r="AO123"/>
  <c r="BO122"/>
  <c r="BH122"/>
  <c r="BJ121"/>
  <c r="BK121" s="1"/>
  <c r="BL121" s="1"/>
  <c r="BI121"/>
  <c r="BM121"/>
  <c r="BN121" s="1"/>
  <c r="BC122"/>
  <c r="AZ122"/>
  <c r="BA122"/>
  <c r="AM125"/>
  <c r="AS124"/>
  <c r="AR124"/>
  <c r="AQ124" s="1"/>
  <c r="AT123"/>
  <c r="AY123"/>
  <c r="BS123" s="1"/>
  <c r="AU123"/>
  <c r="BB122"/>
  <c r="BR122" l="1"/>
  <c r="BP122"/>
  <c r="BQ122"/>
  <c r="AV123"/>
  <c r="BF123" s="1"/>
  <c r="BG123" s="1"/>
  <c r="BO123"/>
  <c r="AX123"/>
  <c r="BD123" s="1"/>
  <c r="BE123" s="1"/>
  <c r="AO124"/>
  <c r="AW123"/>
  <c r="BH123"/>
  <c r="BM122"/>
  <c r="BN122" s="1"/>
  <c r="BI122"/>
  <c r="BJ122"/>
  <c r="BK122" s="1"/>
  <c r="BL122" s="1"/>
  <c r="AZ123"/>
  <c r="BA123"/>
  <c r="BB123"/>
  <c r="AM126"/>
  <c r="AS125"/>
  <c r="AR125"/>
  <c r="AQ125" s="1"/>
  <c r="AY124"/>
  <c r="BS124" s="1"/>
  <c r="AU124"/>
  <c r="AT124"/>
  <c r="BC123"/>
  <c r="AV124" l="1"/>
  <c r="BF124" s="1"/>
  <c r="BG124" s="1"/>
  <c r="AO125"/>
  <c r="BO124"/>
  <c r="AX124"/>
  <c r="BD124" s="1"/>
  <c r="BE124" s="1"/>
  <c r="AW124"/>
  <c r="BH124"/>
  <c r="BI123"/>
  <c r="BJ123"/>
  <c r="BK123" s="1"/>
  <c r="BL123" s="1"/>
  <c r="BM123"/>
  <c r="BN123" s="1"/>
  <c r="BQ123"/>
  <c r="BP123"/>
  <c r="BR123"/>
  <c r="BB124"/>
  <c r="BC124"/>
  <c r="BA124"/>
  <c r="AZ124"/>
  <c r="AY125"/>
  <c r="BS125" s="1"/>
  <c r="AU125"/>
  <c r="AT125"/>
  <c r="AM127"/>
  <c r="AR126"/>
  <c r="AQ126" s="1"/>
  <c r="AS126"/>
  <c r="BP124" l="1"/>
  <c r="BQ124"/>
  <c r="BR124"/>
  <c r="BI124"/>
  <c r="BM124"/>
  <c r="BN124" s="1"/>
  <c r="BJ124"/>
  <c r="BK124" s="1"/>
  <c r="BL124" s="1"/>
  <c r="AV125"/>
  <c r="BF125" s="1"/>
  <c r="BG125" s="1"/>
  <c r="AO126"/>
  <c r="BO125"/>
  <c r="AW125"/>
  <c r="AX125"/>
  <c r="BD125" s="1"/>
  <c r="BE125" s="1"/>
  <c r="BH125"/>
  <c r="BB125"/>
  <c r="BA125"/>
  <c r="AZ125"/>
  <c r="AY126"/>
  <c r="BS126" s="1"/>
  <c r="AU126"/>
  <c r="AT126"/>
  <c r="AM128"/>
  <c r="AR127"/>
  <c r="AQ127" s="1"/>
  <c r="AS127"/>
  <c r="BC125"/>
  <c r="BR125" l="1"/>
  <c r="BQ125"/>
  <c r="BP125"/>
  <c r="BJ125"/>
  <c r="BK125" s="1"/>
  <c r="BL125" s="1"/>
  <c r="BM125"/>
  <c r="BN125" s="1"/>
  <c r="BI125"/>
  <c r="AV126"/>
  <c r="BF126" s="1"/>
  <c r="BG126" s="1"/>
  <c r="BO126"/>
  <c r="AW126"/>
  <c r="AO127"/>
  <c r="AX126"/>
  <c r="BD126" s="1"/>
  <c r="BE126" s="1"/>
  <c r="BH126"/>
  <c r="BA126"/>
  <c r="AZ126"/>
  <c r="AT127"/>
  <c r="AY127"/>
  <c r="BS127" s="1"/>
  <c r="AU127"/>
  <c r="BC126"/>
  <c r="AM129"/>
  <c r="AS128"/>
  <c r="AR128"/>
  <c r="AQ128" s="1"/>
  <c r="BB126"/>
  <c r="BM126" l="1"/>
  <c r="BN126" s="1"/>
  <c r="BJ126"/>
  <c r="BK126" s="1"/>
  <c r="BL126" s="1"/>
  <c r="BI126"/>
  <c r="BQ126"/>
  <c r="BP126"/>
  <c r="BR126"/>
  <c r="AV127"/>
  <c r="BF127" s="1"/>
  <c r="BG127" s="1"/>
  <c r="BO127"/>
  <c r="AX127"/>
  <c r="BD127" s="1"/>
  <c r="BE127" s="1"/>
  <c r="AO128"/>
  <c r="AW127"/>
  <c r="BH127"/>
  <c r="BB127"/>
  <c r="AZ127"/>
  <c r="BA127"/>
  <c r="BC127"/>
  <c r="AY128"/>
  <c r="BS128" s="1"/>
  <c r="AU128"/>
  <c r="AT128"/>
  <c r="AM130"/>
  <c r="AS129"/>
  <c r="AR129"/>
  <c r="AQ129" s="1"/>
  <c r="BI127" l="1"/>
  <c r="BJ127"/>
  <c r="BK127" s="1"/>
  <c r="BL127" s="1"/>
  <c r="BM127"/>
  <c r="BN127" s="1"/>
  <c r="BP127"/>
  <c r="BQ127"/>
  <c r="BR127"/>
  <c r="AV128"/>
  <c r="BF128" s="1"/>
  <c r="BG128" s="1"/>
  <c r="BO128"/>
  <c r="AO129"/>
  <c r="AW128"/>
  <c r="AX128"/>
  <c r="BD128" s="1"/>
  <c r="BE128" s="1"/>
  <c r="BH128"/>
  <c r="BC128"/>
  <c r="BB128"/>
  <c r="AZ128"/>
  <c r="BA128"/>
  <c r="AY129"/>
  <c r="BS129" s="1"/>
  <c r="AU129"/>
  <c r="AT129"/>
  <c r="AM131"/>
  <c r="AR130"/>
  <c r="AQ130" s="1"/>
  <c r="AS130"/>
  <c r="BB129" l="1"/>
  <c r="BM128"/>
  <c r="BN128" s="1"/>
  <c r="BJ128"/>
  <c r="BK128" s="1"/>
  <c r="BL128" s="1"/>
  <c r="BI128"/>
  <c r="BP128"/>
  <c r="BR128"/>
  <c r="BQ128"/>
  <c r="AV129"/>
  <c r="BF129" s="1"/>
  <c r="BG129" s="1"/>
  <c r="AX129"/>
  <c r="BD129" s="1"/>
  <c r="BE129" s="1"/>
  <c r="AO130"/>
  <c r="AW129"/>
  <c r="BO129"/>
  <c r="BH129"/>
  <c r="BA129"/>
  <c r="AZ129"/>
  <c r="AM132"/>
  <c r="AS131"/>
  <c r="AR131"/>
  <c r="AQ131" s="1"/>
  <c r="AY130"/>
  <c r="BS130" s="1"/>
  <c r="AU130"/>
  <c r="AT130"/>
  <c r="BC129"/>
  <c r="BR129" l="1"/>
  <c r="BP129"/>
  <c r="BQ129"/>
  <c r="AV130"/>
  <c r="BF130" s="1"/>
  <c r="BG130" s="1"/>
  <c r="BO130"/>
  <c r="AX130"/>
  <c r="BD130" s="1"/>
  <c r="BE130" s="1"/>
  <c r="AO131"/>
  <c r="AW130"/>
  <c r="BH130"/>
  <c r="BM129"/>
  <c r="BN129" s="1"/>
  <c r="BJ129"/>
  <c r="BK129" s="1"/>
  <c r="BL129" s="1"/>
  <c r="BI129"/>
  <c r="BB130"/>
  <c r="BA130"/>
  <c r="AZ130"/>
  <c r="AT131"/>
  <c r="AY131"/>
  <c r="BS131" s="1"/>
  <c r="AU131"/>
  <c r="AM133"/>
  <c r="AR132"/>
  <c r="AQ132" s="1"/>
  <c r="AS132"/>
  <c r="BC130"/>
  <c r="AV131" l="1"/>
  <c r="BF131" s="1"/>
  <c r="BG131" s="1"/>
  <c r="BO131"/>
  <c r="AX131"/>
  <c r="BD131" s="1"/>
  <c r="BE131" s="1"/>
  <c r="AW131"/>
  <c r="AO132"/>
  <c r="BH131"/>
  <c r="BI130"/>
  <c r="BM130"/>
  <c r="BN130" s="1"/>
  <c r="BJ130"/>
  <c r="BK130" s="1"/>
  <c r="BL130" s="1"/>
  <c r="BQ130"/>
  <c r="BR130"/>
  <c r="BP130"/>
  <c r="BC131"/>
  <c r="BB131"/>
  <c r="BA131"/>
  <c r="AZ131"/>
  <c r="AM134"/>
  <c r="AS133"/>
  <c r="AR133"/>
  <c r="AQ133" s="1"/>
  <c r="AY132"/>
  <c r="BS132" s="1"/>
  <c r="AU132"/>
  <c r="AT132"/>
  <c r="BJ131" l="1"/>
  <c r="BK131" s="1"/>
  <c r="BL131" s="1"/>
  <c r="BI131"/>
  <c r="BM131"/>
  <c r="BN131" s="1"/>
  <c r="BP131"/>
  <c r="BR131"/>
  <c r="BQ131"/>
  <c r="AV132"/>
  <c r="BF132" s="1"/>
  <c r="BG132" s="1"/>
  <c r="BO132"/>
  <c r="AX132"/>
  <c r="BD132" s="1"/>
  <c r="BE132" s="1"/>
  <c r="AW132"/>
  <c r="AO133"/>
  <c r="BH132"/>
  <c r="BB132"/>
  <c r="BC132"/>
  <c r="BA132"/>
  <c r="AZ132"/>
  <c r="AT133"/>
  <c r="AY133"/>
  <c r="BS133" s="1"/>
  <c r="AU133"/>
  <c r="AM135"/>
  <c r="AS134"/>
  <c r="AR134"/>
  <c r="AQ134" s="1"/>
  <c r="BI132" l="1"/>
  <c r="BM132"/>
  <c r="BN132" s="1"/>
  <c r="BJ132"/>
  <c r="BK132" s="1"/>
  <c r="BL132" s="1"/>
  <c r="BR132"/>
  <c r="BP132"/>
  <c r="BQ132"/>
  <c r="AV133"/>
  <c r="BF133" s="1"/>
  <c r="BG133" s="1"/>
  <c r="AW133"/>
  <c r="AX133"/>
  <c r="BD133" s="1"/>
  <c r="BE133" s="1"/>
  <c r="AO134"/>
  <c r="BO133"/>
  <c r="BH133"/>
  <c r="BA133"/>
  <c r="BC133"/>
  <c r="AZ133"/>
  <c r="AM136"/>
  <c r="AR135"/>
  <c r="AQ135" s="1"/>
  <c r="AS135"/>
  <c r="AY134"/>
  <c r="BS134" s="1"/>
  <c r="AU134"/>
  <c r="AT134"/>
  <c r="BB133"/>
  <c r="BJ133" l="1"/>
  <c r="BK133" s="1"/>
  <c r="BL133" s="1"/>
  <c r="BI133"/>
  <c r="BM133"/>
  <c r="BN133" s="1"/>
  <c r="BQ133"/>
  <c r="BP133"/>
  <c r="BR133"/>
  <c r="AV134"/>
  <c r="BF134" s="1"/>
  <c r="BG134" s="1"/>
  <c r="AX134"/>
  <c r="BD134" s="1"/>
  <c r="BE134" s="1"/>
  <c r="BO134"/>
  <c r="AW134"/>
  <c r="AO135"/>
  <c r="BH134"/>
  <c r="AZ134"/>
  <c r="BA134"/>
  <c r="AM137"/>
  <c r="AR136"/>
  <c r="AQ136" s="1"/>
  <c r="AS136"/>
  <c r="BC134"/>
  <c r="BB134"/>
  <c r="AT135"/>
  <c r="AY135"/>
  <c r="BS135" s="1"/>
  <c r="AU135"/>
  <c r="BM134" l="1"/>
  <c r="BN134" s="1"/>
  <c r="BI134"/>
  <c r="BJ134"/>
  <c r="BK134" s="1"/>
  <c r="BL134" s="1"/>
  <c r="AV135"/>
  <c r="BF135" s="1"/>
  <c r="BG135" s="1"/>
  <c r="AW135"/>
  <c r="AX135"/>
  <c r="BD135" s="1"/>
  <c r="BE135" s="1"/>
  <c r="AO136"/>
  <c r="BO135"/>
  <c r="BH135"/>
  <c r="BP134"/>
  <c r="BQ134"/>
  <c r="BR134"/>
  <c r="AZ135"/>
  <c r="BA135"/>
  <c r="AM138"/>
  <c r="AS137"/>
  <c r="AR137"/>
  <c r="AQ137" s="1"/>
  <c r="BB135"/>
  <c r="AY136"/>
  <c r="BS136" s="1"/>
  <c r="AU136"/>
  <c r="AT136"/>
  <c r="BC135"/>
  <c r="AV136" l="1"/>
  <c r="BF136" s="1"/>
  <c r="BG136" s="1"/>
  <c r="AO137"/>
  <c r="BO136"/>
  <c r="AW136"/>
  <c r="AX136"/>
  <c r="BD136" s="1"/>
  <c r="BE136" s="1"/>
  <c r="BH136"/>
  <c r="BJ135"/>
  <c r="BK135" s="1"/>
  <c r="BL135" s="1"/>
  <c r="BI135"/>
  <c r="BM135"/>
  <c r="BN135" s="1"/>
  <c r="BP135"/>
  <c r="BQ135"/>
  <c r="BR135"/>
  <c r="AZ136"/>
  <c r="BA136"/>
  <c r="AT137"/>
  <c r="AY137"/>
  <c r="BS137" s="1"/>
  <c r="AU137"/>
  <c r="BB136"/>
  <c r="AM139"/>
  <c r="AS138"/>
  <c r="AR138"/>
  <c r="AQ138" s="1"/>
  <c r="BC136"/>
  <c r="BR136" l="1"/>
  <c r="BP136"/>
  <c r="BQ136"/>
  <c r="BM136"/>
  <c r="BN136" s="1"/>
  <c r="BJ136"/>
  <c r="BK136" s="1"/>
  <c r="BL136" s="1"/>
  <c r="BI136"/>
  <c r="AV137"/>
  <c r="BF137" s="1"/>
  <c r="BG137" s="1"/>
  <c r="BO137"/>
  <c r="AW137"/>
  <c r="AX137"/>
  <c r="BD137" s="1"/>
  <c r="BE137" s="1"/>
  <c r="AO138"/>
  <c r="BH137"/>
  <c r="BA137"/>
  <c r="BB137"/>
  <c r="AZ137"/>
  <c r="AY138"/>
  <c r="BS138" s="1"/>
  <c r="AU138"/>
  <c r="AT138"/>
  <c r="AM140"/>
  <c r="AS139"/>
  <c r="AR139"/>
  <c r="AQ139" s="1"/>
  <c r="BC137"/>
  <c r="BJ137" l="1"/>
  <c r="BK137" s="1"/>
  <c r="BL137" s="1"/>
  <c r="BI137"/>
  <c r="BM137"/>
  <c r="BN137" s="1"/>
  <c r="BR137"/>
  <c r="BP137"/>
  <c r="BQ137"/>
  <c r="AV138"/>
  <c r="BF138" s="1"/>
  <c r="BG138" s="1"/>
  <c r="AO139"/>
  <c r="BO138"/>
  <c r="AW138"/>
  <c r="AX138"/>
  <c r="BD138" s="1"/>
  <c r="BE138" s="1"/>
  <c r="BH138"/>
  <c r="BC138"/>
  <c r="BB138"/>
  <c r="AZ138"/>
  <c r="BA138"/>
  <c r="AT139"/>
  <c r="AY139"/>
  <c r="BS139" s="1"/>
  <c r="AU139"/>
  <c r="AM141"/>
  <c r="AR140"/>
  <c r="AQ140" s="1"/>
  <c r="AS140"/>
  <c r="BM138" l="1"/>
  <c r="BN138" s="1"/>
  <c r="BJ138"/>
  <c r="BK138" s="1"/>
  <c r="BL138" s="1"/>
  <c r="BI138"/>
  <c r="AV139"/>
  <c r="BF139" s="1"/>
  <c r="BG139" s="1"/>
  <c r="AX139"/>
  <c r="BD139" s="1"/>
  <c r="BE139" s="1"/>
  <c r="AO140"/>
  <c r="BO139"/>
  <c r="AW139"/>
  <c r="BH139"/>
  <c r="BP138"/>
  <c r="BQ138"/>
  <c r="BR138"/>
  <c r="BB139"/>
  <c r="AZ139"/>
  <c r="BA139"/>
  <c r="AY140"/>
  <c r="BS140" s="1"/>
  <c r="AU140"/>
  <c r="AT140"/>
  <c r="AM142"/>
  <c r="AS141"/>
  <c r="AR141"/>
  <c r="AQ141" s="1"/>
  <c r="BC139"/>
  <c r="BR139" l="1"/>
  <c r="BQ139"/>
  <c r="BP139"/>
  <c r="AV140"/>
  <c r="BF140" s="1"/>
  <c r="BG140" s="1"/>
  <c r="AW140"/>
  <c r="AX140"/>
  <c r="BD140" s="1"/>
  <c r="BE140" s="1"/>
  <c r="AO141"/>
  <c r="BO140"/>
  <c r="BH140"/>
  <c r="BM139"/>
  <c r="BN139" s="1"/>
  <c r="BI139"/>
  <c r="BJ139"/>
  <c r="BK139" s="1"/>
  <c r="BL139" s="1"/>
  <c r="BB140"/>
  <c r="BC140"/>
  <c r="BA140"/>
  <c r="AZ140"/>
  <c r="AM143"/>
  <c r="AS142"/>
  <c r="AR142"/>
  <c r="AQ142" s="1"/>
  <c r="AY141"/>
  <c r="BS141" s="1"/>
  <c r="AU141"/>
  <c r="AT141"/>
  <c r="AV141" l="1"/>
  <c r="BF141" s="1"/>
  <c r="BG141" s="1"/>
  <c r="AW141"/>
  <c r="AO142"/>
  <c r="BO141"/>
  <c r="AX141"/>
  <c r="BD141" s="1"/>
  <c r="BE141" s="1"/>
  <c r="BH141"/>
  <c r="BJ140"/>
  <c r="BK140" s="1"/>
  <c r="BL140" s="1"/>
  <c r="BI140"/>
  <c r="BM140"/>
  <c r="BN140" s="1"/>
  <c r="BQ140"/>
  <c r="BR140"/>
  <c r="BP140"/>
  <c r="BA141"/>
  <c r="AZ141"/>
  <c r="AY142"/>
  <c r="BS142" s="1"/>
  <c r="AU142"/>
  <c r="AT142"/>
  <c r="BC141"/>
  <c r="BB141"/>
  <c r="BB142"/>
  <c r="AM144"/>
  <c r="AR143"/>
  <c r="AQ143" s="1"/>
  <c r="AS143"/>
  <c r="BC142" l="1"/>
  <c r="AV142"/>
  <c r="BF142" s="1"/>
  <c r="BG142" s="1"/>
  <c r="BO142"/>
  <c r="AW142"/>
  <c r="AX142"/>
  <c r="BD142" s="1"/>
  <c r="BE142" s="1"/>
  <c r="AO143"/>
  <c r="BH142"/>
  <c r="BJ141"/>
  <c r="BK141" s="1"/>
  <c r="BL141" s="1"/>
  <c r="BI141"/>
  <c r="BM141"/>
  <c r="BN141" s="1"/>
  <c r="BQ141"/>
  <c r="BP141"/>
  <c r="BR141"/>
  <c r="BA142"/>
  <c r="AZ142"/>
  <c r="AM145"/>
  <c r="AR144"/>
  <c r="AQ144" s="1"/>
  <c r="AS144"/>
  <c r="AT143"/>
  <c r="AY143"/>
  <c r="BS143" s="1"/>
  <c r="AU143"/>
  <c r="BI142" l="1"/>
  <c r="BM142"/>
  <c r="BN142" s="1"/>
  <c r="BJ142"/>
  <c r="BK142" s="1"/>
  <c r="BL142" s="1"/>
  <c r="BQ142"/>
  <c r="BP142"/>
  <c r="BR142"/>
  <c r="AV143"/>
  <c r="BF143" s="1"/>
  <c r="BG143" s="1"/>
  <c r="BO143"/>
  <c r="AW143"/>
  <c r="AO144"/>
  <c r="AX143"/>
  <c r="BD143" s="1"/>
  <c r="BE143" s="1"/>
  <c r="BH143"/>
  <c r="BA143"/>
  <c r="AZ143"/>
  <c r="AY144"/>
  <c r="BS144" s="1"/>
  <c r="AU144"/>
  <c r="AT144"/>
  <c r="BB143"/>
  <c r="AM146"/>
  <c r="AS145"/>
  <c r="AR145"/>
  <c r="AQ145" s="1"/>
  <c r="BC143"/>
  <c r="BC144" l="1"/>
  <c r="AV144"/>
  <c r="BF144" s="1"/>
  <c r="BG144" s="1"/>
  <c r="AX144"/>
  <c r="BD144" s="1"/>
  <c r="BE144" s="1"/>
  <c r="AW144"/>
  <c r="AO145"/>
  <c r="BO144"/>
  <c r="BH144"/>
  <c r="BI143"/>
  <c r="BM143"/>
  <c r="BN143" s="1"/>
  <c r="BJ143"/>
  <c r="BK143" s="1"/>
  <c r="BL143" s="1"/>
  <c r="BQ143"/>
  <c r="BR143"/>
  <c r="BP143"/>
  <c r="AZ144"/>
  <c r="BB144"/>
  <c r="BA144"/>
  <c r="AY145"/>
  <c r="BS145" s="1"/>
  <c r="AU145"/>
  <c r="AT145"/>
  <c r="AM147"/>
  <c r="AS146"/>
  <c r="AR146"/>
  <c r="AV145" l="1"/>
  <c r="BF145" s="1"/>
  <c r="BG145" s="1"/>
  <c r="BO145"/>
  <c r="AW145"/>
  <c r="AX145"/>
  <c r="BD145" s="1"/>
  <c r="BE145" s="1"/>
  <c r="AO146"/>
  <c r="BH145"/>
  <c r="BM144"/>
  <c r="BN144" s="1"/>
  <c r="BJ144"/>
  <c r="BK144" s="1"/>
  <c r="BL144" s="1"/>
  <c r="BI144"/>
  <c r="BP144"/>
  <c r="BQ144"/>
  <c r="BR144"/>
  <c r="BB145"/>
  <c r="AZ145"/>
  <c r="AQ146"/>
  <c r="BA145"/>
  <c r="AM148"/>
  <c r="AS147"/>
  <c r="AR147"/>
  <c r="AQ147" s="1"/>
  <c r="AY146"/>
  <c r="BS146" s="1"/>
  <c r="AU146"/>
  <c r="AT146"/>
  <c r="BC145"/>
  <c r="BJ145" l="1"/>
  <c r="BK145" s="1"/>
  <c r="BL145" s="1"/>
  <c r="BI145"/>
  <c r="BM145"/>
  <c r="BN145" s="1"/>
  <c r="BR145"/>
  <c r="BP145"/>
  <c r="BQ145"/>
  <c r="AV146"/>
  <c r="BF146" s="1"/>
  <c r="BG146" s="1"/>
  <c r="BO146"/>
  <c r="AX146"/>
  <c r="BD146" s="1"/>
  <c r="BE146" s="1"/>
  <c r="AO147"/>
  <c r="AW146"/>
  <c r="BH146"/>
  <c r="BA146"/>
  <c r="AZ146"/>
  <c r="BC146"/>
  <c r="AT147"/>
  <c r="AY147"/>
  <c r="BS147" s="1"/>
  <c r="AU147"/>
  <c r="AM149"/>
  <c r="AS148"/>
  <c r="AR148"/>
  <c r="BB146"/>
  <c r="AV147" l="1"/>
  <c r="BF147" s="1"/>
  <c r="BG147" s="1"/>
  <c r="AO148"/>
  <c r="AW147"/>
  <c r="AX147"/>
  <c r="BD147" s="1"/>
  <c r="BE147" s="1"/>
  <c r="BO147"/>
  <c r="BH147"/>
  <c r="BM146"/>
  <c r="BN146" s="1"/>
  <c r="BJ146"/>
  <c r="BK146" s="1"/>
  <c r="BL146" s="1"/>
  <c r="BI146"/>
  <c r="BQ146"/>
  <c r="BR146"/>
  <c r="BP146"/>
  <c r="AZ147"/>
  <c r="BA147"/>
  <c r="BC147"/>
  <c r="BB147"/>
  <c r="AY148"/>
  <c r="BS148" s="1"/>
  <c r="AU148"/>
  <c r="AT148"/>
  <c r="AQ148"/>
  <c r="AM150"/>
  <c r="AS149"/>
  <c r="AR149"/>
  <c r="BJ147" l="1"/>
  <c r="BK147" s="1"/>
  <c r="BL147" s="1"/>
  <c r="BI147"/>
  <c r="BM147"/>
  <c r="BN147" s="1"/>
  <c r="AV148"/>
  <c r="BF148" s="1"/>
  <c r="BG148" s="1"/>
  <c r="AX148"/>
  <c r="BD148" s="1"/>
  <c r="BE148" s="1"/>
  <c r="AO149"/>
  <c r="BO148"/>
  <c r="AW148"/>
  <c r="BH148"/>
  <c r="BR147"/>
  <c r="BQ147"/>
  <c r="BP147"/>
  <c r="AQ149"/>
  <c r="AZ148"/>
  <c r="BA148"/>
  <c r="BB148"/>
  <c r="AT149"/>
  <c r="AY149"/>
  <c r="BS149" s="1"/>
  <c r="AU149"/>
  <c r="AM151"/>
  <c r="AR150"/>
  <c r="AS150"/>
  <c r="BC148"/>
  <c r="BQ148" l="1"/>
  <c r="BR148"/>
  <c r="BP148"/>
  <c r="AV149"/>
  <c r="BF149" s="1"/>
  <c r="BG149" s="1"/>
  <c r="AO150"/>
  <c r="BO149"/>
  <c r="AX149"/>
  <c r="BD149" s="1"/>
  <c r="BE149" s="1"/>
  <c r="AW149"/>
  <c r="BH149"/>
  <c r="BI148"/>
  <c r="BM148"/>
  <c r="BN148" s="1"/>
  <c r="BJ148"/>
  <c r="BK148" s="1"/>
  <c r="BL148" s="1"/>
  <c r="AQ150"/>
  <c r="BA149"/>
  <c r="AZ149"/>
  <c r="BB149"/>
  <c r="BC149"/>
  <c r="AM152"/>
  <c r="AS151"/>
  <c r="AR151"/>
  <c r="AY150"/>
  <c r="BS150" s="1"/>
  <c r="AU150"/>
  <c r="AT150"/>
  <c r="BP149" l="1"/>
  <c r="BR149"/>
  <c r="BQ149"/>
  <c r="BM149"/>
  <c r="BN149" s="1"/>
  <c r="BJ149"/>
  <c r="BK149" s="1"/>
  <c r="BL149" s="1"/>
  <c r="BI149"/>
  <c r="AV150"/>
  <c r="BF150" s="1"/>
  <c r="BG150" s="1"/>
  <c r="AX150"/>
  <c r="BD150" s="1"/>
  <c r="BE150" s="1"/>
  <c r="AO151"/>
  <c r="BO150"/>
  <c r="AW150"/>
  <c r="BH150"/>
  <c r="BA150"/>
  <c r="AZ150"/>
  <c r="BC150"/>
  <c r="AT151"/>
  <c r="AY151"/>
  <c r="BS151" s="1"/>
  <c r="AU151"/>
  <c r="AM153"/>
  <c r="AS152"/>
  <c r="AR152"/>
  <c r="AQ151"/>
  <c r="BB150"/>
  <c r="AZ151" l="1"/>
  <c r="BR150"/>
  <c r="BQ150"/>
  <c r="BP150"/>
  <c r="AV151"/>
  <c r="AO152"/>
  <c r="BO151"/>
  <c r="AW151"/>
  <c r="AX151"/>
  <c r="BD151" s="1"/>
  <c r="BE151" s="1"/>
  <c r="BH151"/>
  <c r="BM150"/>
  <c r="BN150" s="1"/>
  <c r="BI150"/>
  <c r="BJ150"/>
  <c r="BK150" s="1"/>
  <c r="BL150" s="1"/>
  <c r="BA151"/>
  <c r="AQ152"/>
  <c r="BB151"/>
  <c r="BF151"/>
  <c r="BG151" s="1"/>
  <c r="AY152"/>
  <c r="BS152" s="1"/>
  <c r="AU152"/>
  <c r="AT152"/>
  <c r="AM154"/>
  <c r="AS153"/>
  <c r="AR153"/>
  <c r="BC151"/>
  <c r="BP151" l="1"/>
  <c r="BR151"/>
  <c r="BQ151"/>
  <c r="BM151"/>
  <c r="BN151" s="1"/>
  <c r="BI151"/>
  <c r="BJ151"/>
  <c r="BK151" s="1"/>
  <c r="BL151" s="1"/>
  <c r="AV152"/>
  <c r="BF152" s="1"/>
  <c r="BG152" s="1"/>
  <c r="BO152"/>
  <c r="AW152"/>
  <c r="AX152"/>
  <c r="BD152" s="1"/>
  <c r="BE152" s="1"/>
  <c r="AO153"/>
  <c r="BH152"/>
  <c r="BA152"/>
  <c r="AZ152"/>
  <c r="BC152"/>
  <c r="BB152"/>
  <c r="AT153"/>
  <c r="AY153"/>
  <c r="BS153" s="1"/>
  <c r="AU153"/>
  <c r="AM155"/>
  <c r="AR154"/>
  <c r="AS154"/>
  <c r="AQ153"/>
  <c r="BI152" l="1"/>
  <c r="BJ152"/>
  <c r="BK152" s="1"/>
  <c r="BL152" s="1"/>
  <c r="BM152"/>
  <c r="BN152" s="1"/>
  <c r="BR152"/>
  <c r="BP152"/>
  <c r="BQ152"/>
  <c r="AV153"/>
  <c r="BF153" s="1"/>
  <c r="BG153" s="1"/>
  <c r="AO154"/>
  <c r="BO153"/>
  <c r="AW153"/>
  <c r="AX153"/>
  <c r="BD153" s="1"/>
  <c r="BE153" s="1"/>
  <c r="BH153"/>
  <c r="AZ153"/>
  <c r="AQ154"/>
  <c r="BA153"/>
  <c r="AM156"/>
  <c r="AR155"/>
  <c r="AQ155" s="1"/>
  <c r="AS155"/>
  <c r="AY154"/>
  <c r="BS154" s="1"/>
  <c r="AU154"/>
  <c r="AT154"/>
  <c r="BB153"/>
  <c r="BC154"/>
  <c r="BC153"/>
  <c r="BP153" l="1"/>
  <c r="BQ153"/>
  <c r="BR153"/>
  <c r="BM153"/>
  <c r="BN153" s="1"/>
  <c r="BJ153"/>
  <c r="BK153" s="1"/>
  <c r="BL153" s="1"/>
  <c r="BI153"/>
  <c r="AV154"/>
  <c r="BF154" s="1"/>
  <c r="BG154" s="1"/>
  <c r="AW154"/>
  <c r="AX154"/>
  <c r="BD154" s="1"/>
  <c r="BE154" s="1"/>
  <c r="BO154"/>
  <c r="AO155"/>
  <c r="BH154"/>
  <c r="BA154"/>
  <c r="AZ154"/>
  <c r="AM157"/>
  <c r="AS156"/>
  <c r="AR156"/>
  <c r="AT155"/>
  <c r="AY155"/>
  <c r="BS155" s="1"/>
  <c r="AU155"/>
  <c r="BB154"/>
  <c r="AV155" l="1"/>
  <c r="BF155" s="1"/>
  <c r="BG155" s="1"/>
  <c r="BO155"/>
  <c r="AW155"/>
  <c r="AX155"/>
  <c r="BD155" s="1"/>
  <c r="BE155" s="1"/>
  <c r="AO156"/>
  <c r="BH155"/>
  <c r="BQ154"/>
  <c r="BP154"/>
  <c r="BR154"/>
  <c r="BM154"/>
  <c r="BN154" s="1"/>
  <c r="BJ154"/>
  <c r="BK154" s="1"/>
  <c r="BL154" s="1"/>
  <c r="BI154"/>
  <c r="AZ155"/>
  <c r="AQ156"/>
  <c r="BA155"/>
  <c r="BB155"/>
  <c r="AM158"/>
  <c r="AR157"/>
  <c r="AS157"/>
  <c r="AY156"/>
  <c r="BS156" s="1"/>
  <c r="AU156"/>
  <c r="AT156"/>
  <c r="BC155"/>
  <c r="BM155" l="1"/>
  <c r="BN155" s="1"/>
  <c r="BJ155"/>
  <c r="BK155" s="1"/>
  <c r="BL155" s="1"/>
  <c r="BI155"/>
  <c r="BR155"/>
  <c r="BP155"/>
  <c r="BQ155"/>
  <c r="AV156"/>
  <c r="BF156" s="1"/>
  <c r="BG156" s="1"/>
  <c r="AO157"/>
  <c r="AX156"/>
  <c r="BD156" s="1"/>
  <c r="BE156" s="1"/>
  <c r="AW156"/>
  <c r="BO156"/>
  <c r="BH156"/>
  <c r="AQ157"/>
  <c r="BA156"/>
  <c r="AZ156"/>
  <c r="AY157"/>
  <c r="BS157" s="1"/>
  <c r="AU157"/>
  <c r="AT157"/>
  <c r="BB156"/>
  <c r="BC156"/>
  <c r="AM159"/>
  <c r="AS158"/>
  <c r="AR158"/>
  <c r="BR156" l="1"/>
  <c r="BP156"/>
  <c r="BQ156"/>
  <c r="BM156"/>
  <c r="BN156" s="1"/>
  <c r="BJ156"/>
  <c r="BK156" s="1"/>
  <c r="BL156" s="1"/>
  <c r="BI156"/>
  <c r="AV157"/>
  <c r="BF157" s="1"/>
  <c r="BG157" s="1"/>
  <c r="BO157"/>
  <c r="AX157"/>
  <c r="BD157" s="1"/>
  <c r="BE157" s="1"/>
  <c r="AO158"/>
  <c r="AW157"/>
  <c r="BH157"/>
  <c r="BA157"/>
  <c r="AZ157"/>
  <c r="AQ158"/>
  <c r="BC157"/>
  <c r="BB157"/>
  <c r="AY158"/>
  <c r="BS158" s="1"/>
  <c r="AU158"/>
  <c r="AT158"/>
  <c r="AM160"/>
  <c r="AR159"/>
  <c r="AS159"/>
  <c r="AV158" l="1"/>
  <c r="BF158" s="1"/>
  <c r="BG158" s="1"/>
  <c r="AO159"/>
  <c r="BO158"/>
  <c r="AW158"/>
  <c r="AX158"/>
  <c r="BD158" s="1"/>
  <c r="BE158" s="1"/>
  <c r="BH158"/>
  <c r="BJ157"/>
  <c r="BK157" s="1"/>
  <c r="BL157" s="1"/>
  <c r="BI157"/>
  <c r="BM157"/>
  <c r="BN157" s="1"/>
  <c r="BQ157"/>
  <c r="BR157"/>
  <c r="BP157"/>
  <c r="BA158"/>
  <c r="AZ158"/>
  <c r="AQ159"/>
  <c r="BB158"/>
  <c r="BC158"/>
  <c r="AT159"/>
  <c r="AY159"/>
  <c r="BS159" s="1"/>
  <c r="AU159"/>
  <c r="AM161"/>
  <c r="AS160"/>
  <c r="AR160"/>
  <c r="AQ160" s="1"/>
  <c r="BQ158" l="1"/>
  <c r="BR158"/>
  <c r="BP158"/>
  <c r="BM158"/>
  <c r="BN158" s="1"/>
  <c r="BJ158"/>
  <c r="BK158" s="1"/>
  <c r="BL158" s="1"/>
  <c r="BI158"/>
  <c r="AV159"/>
  <c r="BF159" s="1"/>
  <c r="BG159" s="1"/>
  <c r="AO160"/>
  <c r="BO159"/>
  <c r="AW159"/>
  <c r="AX159"/>
  <c r="BD159" s="1"/>
  <c r="BE159" s="1"/>
  <c r="BH159"/>
  <c r="BA159"/>
  <c r="AZ159"/>
  <c r="BB159"/>
  <c r="AM162"/>
  <c r="AR161"/>
  <c r="AS161"/>
  <c r="AY160"/>
  <c r="BS160" s="1"/>
  <c r="AU160"/>
  <c r="AT160"/>
  <c r="BC159"/>
  <c r="BQ159" l="1"/>
  <c r="BR159"/>
  <c r="BP159"/>
  <c r="BM159"/>
  <c r="BN159" s="1"/>
  <c r="BJ159"/>
  <c r="BK159" s="1"/>
  <c r="BL159" s="1"/>
  <c r="BI159"/>
  <c r="AV160"/>
  <c r="BF160" s="1"/>
  <c r="BG160" s="1"/>
  <c r="AX160"/>
  <c r="BD160" s="1"/>
  <c r="BE160" s="1"/>
  <c r="AW160"/>
  <c r="AO161"/>
  <c r="BO160"/>
  <c r="BH160"/>
  <c r="BA160"/>
  <c r="AZ160"/>
  <c r="BC160"/>
  <c r="BB160"/>
  <c r="AY161"/>
  <c r="BS161" s="1"/>
  <c r="AU161"/>
  <c r="AT161"/>
  <c r="AM163"/>
  <c r="AR162"/>
  <c r="AS162"/>
  <c r="AQ161"/>
  <c r="AZ161" s="1"/>
  <c r="BM160" l="1"/>
  <c r="BN160" s="1"/>
  <c r="BJ160"/>
  <c r="BK160" s="1"/>
  <c r="BL160" s="1"/>
  <c r="BI160"/>
  <c r="BQ160"/>
  <c r="BP160"/>
  <c r="BR160"/>
  <c r="AV161"/>
  <c r="BF161" s="1"/>
  <c r="BG161" s="1"/>
  <c r="AO162"/>
  <c r="BO161"/>
  <c r="AW161"/>
  <c r="AX161"/>
  <c r="BD161" s="1"/>
  <c r="BE161" s="1"/>
  <c r="BH161"/>
  <c r="BA161"/>
  <c r="AQ162"/>
  <c r="BB161"/>
  <c r="AY162"/>
  <c r="BS162" s="1"/>
  <c r="AU162"/>
  <c r="AT162"/>
  <c r="AM164"/>
  <c r="AS163"/>
  <c r="AR163"/>
  <c r="BC161"/>
  <c r="BP161" l="1"/>
  <c r="BQ161"/>
  <c r="BR161"/>
  <c r="BM161"/>
  <c r="BN161" s="1"/>
  <c r="BJ161"/>
  <c r="BK161" s="1"/>
  <c r="BL161" s="1"/>
  <c r="BI161"/>
  <c r="AV162"/>
  <c r="BF162" s="1"/>
  <c r="BG162" s="1"/>
  <c r="AO163"/>
  <c r="BO162"/>
  <c r="AW162"/>
  <c r="AX162"/>
  <c r="BD162" s="1"/>
  <c r="BE162" s="1"/>
  <c r="BH162"/>
  <c r="BA162"/>
  <c r="AZ162"/>
  <c r="BC162"/>
  <c r="AM165"/>
  <c r="AS164"/>
  <c r="AR164"/>
  <c r="AT163"/>
  <c r="AY163"/>
  <c r="BS163" s="1"/>
  <c r="AU163"/>
  <c r="AQ163"/>
  <c r="BB162"/>
  <c r="BQ162" l="1"/>
  <c r="BR162"/>
  <c r="BP162"/>
  <c r="BI162"/>
  <c r="BJ162"/>
  <c r="BK162" s="1"/>
  <c r="BL162" s="1"/>
  <c r="BM162"/>
  <c r="BN162" s="1"/>
  <c r="AV163"/>
  <c r="BF163" s="1"/>
  <c r="BG163" s="1"/>
  <c r="BO163"/>
  <c r="AX163"/>
  <c r="BD163" s="1"/>
  <c r="BE163" s="1"/>
  <c r="AW163"/>
  <c r="AO164"/>
  <c r="BH163"/>
  <c r="AQ164"/>
  <c r="AZ163"/>
  <c r="BA163"/>
  <c r="BC163"/>
  <c r="AY164"/>
  <c r="BS164" s="1"/>
  <c r="AU164"/>
  <c r="AT164"/>
  <c r="BB163"/>
  <c r="AM166"/>
  <c r="AR165"/>
  <c r="AQ165" s="1"/>
  <c r="AS165"/>
  <c r="BM163" l="1"/>
  <c r="BN163" s="1"/>
  <c r="BJ163"/>
  <c r="BK163" s="1"/>
  <c r="BL163" s="1"/>
  <c r="BI163"/>
  <c r="BP163"/>
  <c r="BR163"/>
  <c r="BQ163"/>
  <c r="AV164"/>
  <c r="BF164" s="1"/>
  <c r="BG164" s="1"/>
  <c r="BO164"/>
  <c r="AX164"/>
  <c r="BD164" s="1"/>
  <c r="BE164" s="1"/>
  <c r="AW164"/>
  <c r="AO165"/>
  <c r="BH164"/>
  <c r="AZ164"/>
  <c r="BA164"/>
  <c r="BB164"/>
  <c r="BC164"/>
  <c r="AM167"/>
  <c r="AS166"/>
  <c r="AR166"/>
  <c r="AT165"/>
  <c r="AY165"/>
  <c r="BS165" s="1"/>
  <c r="AU165"/>
  <c r="BM164" l="1"/>
  <c r="BN164" s="1"/>
  <c r="BI164"/>
  <c r="BJ164"/>
  <c r="BK164" s="1"/>
  <c r="BL164" s="1"/>
  <c r="BQ164"/>
  <c r="BR164"/>
  <c r="BP164"/>
  <c r="AV165"/>
  <c r="BF165" s="1"/>
  <c r="BG165" s="1"/>
  <c r="AX165"/>
  <c r="BD165" s="1"/>
  <c r="BE165" s="1"/>
  <c r="AW165"/>
  <c r="BO165"/>
  <c r="AO166"/>
  <c r="BH165"/>
  <c r="AZ165"/>
  <c r="BA165"/>
  <c r="AM168"/>
  <c r="AS167"/>
  <c r="AR167"/>
  <c r="AY166"/>
  <c r="BS166" s="1"/>
  <c r="AU166"/>
  <c r="AT166"/>
  <c r="BB165"/>
  <c r="AQ166"/>
  <c r="BC165"/>
  <c r="BQ165" l="1"/>
  <c r="BP165"/>
  <c r="BR165"/>
  <c r="BM165"/>
  <c r="BN165" s="1"/>
  <c r="BJ165"/>
  <c r="BK165" s="1"/>
  <c r="BL165" s="1"/>
  <c r="BI165"/>
  <c r="AV166"/>
  <c r="BF166" s="1"/>
  <c r="BG166" s="1"/>
  <c r="AO167"/>
  <c r="BO166"/>
  <c r="AX166"/>
  <c r="BD166" s="1"/>
  <c r="BE166" s="1"/>
  <c r="AW166"/>
  <c r="BH166"/>
  <c r="AZ166"/>
  <c r="AQ167"/>
  <c r="BA166"/>
  <c r="BB166"/>
  <c r="AT167"/>
  <c r="AY167"/>
  <c r="BS167" s="1"/>
  <c r="AU167"/>
  <c r="AM169"/>
  <c r="AS168"/>
  <c r="AR168"/>
  <c r="BC166"/>
  <c r="BJ166" l="1"/>
  <c r="BK166" s="1"/>
  <c r="BL166" s="1"/>
  <c r="BM166"/>
  <c r="BN166" s="1"/>
  <c r="BI166"/>
  <c r="AV167"/>
  <c r="BF167" s="1"/>
  <c r="BG167" s="1"/>
  <c r="AW167"/>
  <c r="AO168"/>
  <c r="BO167"/>
  <c r="AX167"/>
  <c r="BD167" s="1"/>
  <c r="BE167" s="1"/>
  <c r="BH167"/>
  <c r="BP166"/>
  <c r="BQ166"/>
  <c r="BR166"/>
  <c r="BA167"/>
  <c r="AQ168"/>
  <c r="AZ167"/>
  <c r="BB167"/>
  <c r="AM170"/>
  <c r="AR169"/>
  <c r="AS169"/>
  <c r="BC167"/>
  <c r="AY168"/>
  <c r="BS168" s="1"/>
  <c r="AU168"/>
  <c r="AT168"/>
  <c r="BR167" l="1"/>
  <c r="BQ167"/>
  <c r="BP167"/>
  <c r="AV168"/>
  <c r="BF168" s="1"/>
  <c r="BG168" s="1"/>
  <c r="BO168"/>
  <c r="AW168"/>
  <c r="AX168"/>
  <c r="BD168" s="1"/>
  <c r="BE168" s="1"/>
  <c r="AO169"/>
  <c r="BH168"/>
  <c r="BM167"/>
  <c r="BN167" s="1"/>
  <c r="BJ167"/>
  <c r="BK167" s="1"/>
  <c r="BL167" s="1"/>
  <c r="BI167"/>
  <c r="BA168"/>
  <c r="AZ168"/>
  <c r="AQ169"/>
  <c r="BC168"/>
  <c r="AM171"/>
  <c r="AS170"/>
  <c r="AR170"/>
  <c r="AT169"/>
  <c r="AY169"/>
  <c r="BS169" s="1"/>
  <c r="AU169"/>
  <c r="BB168"/>
  <c r="BM168" l="1"/>
  <c r="BN168" s="1"/>
  <c r="BJ168"/>
  <c r="BK168" s="1"/>
  <c r="BL168" s="1"/>
  <c r="BI168"/>
  <c r="BR168"/>
  <c r="BP168"/>
  <c r="BQ168"/>
  <c r="AV169"/>
  <c r="BF169" s="1"/>
  <c r="BG169" s="1"/>
  <c r="BO169"/>
  <c r="AX169"/>
  <c r="BD169" s="1"/>
  <c r="BE169" s="1"/>
  <c r="AO170"/>
  <c r="AW169"/>
  <c r="BH169"/>
  <c r="AZ169"/>
  <c r="AQ170"/>
  <c r="BA169"/>
  <c r="AM172"/>
  <c r="AS171"/>
  <c r="AR171"/>
  <c r="BB169"/>
  <c r="BC169"/>
  <c r="AY170"/>
  <c r="BS170" s="1"/>
  <c r="AU170"/>
  <c r="AT170"/>
  <c r="AV170" l="1"/>
  <c r="BF170" s="1"/>
  <c r="BG170" s="1"/>
  <c r="AW170"/>
  <c r="BO170"/>
  <c r="AX170"/>
  <c r="BD170" s="1"/>
  <c r="BE170" s="1"/>
  <c r="AO171"/>
  <c r="BH170"/>
  <c r="BJ169"/>
  <c r="BK169" s="1"/>
  <c r="BL169" s="1"/>
  <c r="BI169"/>
  <c r="BM169"/>
  <c r="BN169" s="1"/>
  <c r="BQ169"/>
  <c r="BR169"/>
  <c r="BP169"/>
  <c r="AZ170"/>
  <c r="BA170"/>
  <c r="BC170"/>
  <c r="AM173"/>
  <c r="AR172"/>
  <c r="AS172"/>
  <c r="AT171"/>
  <c r="AY171"/>
  <c r="BS171" s="1"/>
  <c r="AU171"/>
  <c r="BB170"/>
  <c r="AQ171"/>
  <c r="BQ170" l="1"/>
  <c r="BR170"/>
  <c r="BP170"/>
  <c r="BM170"/>
  <c r="BN170" s="1"/>
  <c r="BJ170"/>
  <c r="BK170" s="1"/>
  <c r="BL170" s="1"/>
  <c r="BI170"/>
  <c r="AV171"/>
  <c r="BF171" s="1"/>
  <c r="BG171" s="1"/>
  <c r="AO172"/>
  <c r="BO171"/>
  <c r="AW171"/>
  <c r="AX171"/>
  <c r="BD171" s="1"/>
  <c r="BE171" s="1"/>
  <c r="BH171"/>
  <c r="AZ171"/>
  <c r="AQ172"/>
  <c r="BA171"/>
  <c r="BB171"/>
  <c r="BC171"/>
  <c r="AY172"/>
  <c r="BS172" s="1"/>
  <c r="AU172"/>
  <c r="AT172"/>
  <c r="AM174"/>
  <c r="AR173"/>
  <c r="AS173"/>
  <c r="BM171" l="1"/>
  <c r="BN171" s="1"/>
  <c r="BI171"/>
  <c r="BJ171"/>
  <c r="BK171" s="1"/>
  <c r="BL171" s="1"/>
  <c r="AV172"/>
  <c r="BF172" s="1"/>
  <c r="BG172" s="1"/>
  <c r="AX172"/>
  <c r="BD172" s="1"/>
  <c r="BE172" s="1"/>
  <c r="AO173"/>
  <c r="BO172"/>
  <c r="AW172"/>
  <c r="BH172"/>
  <c r="BR171"/>
  <c r="BP171"/>
  <c r="BQ171"/>
  <c r="BA172"/>
  <c r="AZ172"/>
  <c r="AM175"/>
  <c r="AS174"/>
  <c r="AR174"/>
  <c r="AQ173"/>
  <c r="AY173"/>
  <c r="BS173" s="1"/>
  <c r="AU173"/>
  <c r="AT173"/>
  <c r="BC172"/>
  <c r="BB172"/>
  <c r="BR172" l="1"/>
  <c r="BP172"/>
  <c r="BQ172"/>
  <c r="AV173"/>
  <c r="BF173" s="1"/>
  <c r="BG173" s="1"/>
  <c r="AW173"/>
  <c r="AO174"/>
  <c r="BO173"/>
  <c r="AX173"/>
  <c r="BD173" s="1"/>
  <c r="BE173" s="1"/>
  <c r="BH173"/>
  <c r="BM172"/>
  <c r="BN172" s="1"/>
  <c r="BJ172"/>
  <c r="BK172" s="1"/>
  <c r="BL172" s="1"/>
  <c r="BI172"/>
  <c r="BA173"/>
  <c r="AZ173"/>
  <c r="AQ174"/>
  <c r="BB173"/>
  <c r="AM176"/>
  <c r="AR175"/>
  <c r="AS175"/>
  <c r="AY174"/>
  <c r="BS174" s="1"/>
  <c r="AU174"/>
  <c r="AT174"/>
  <c r="BC173"/>
  <c r="BQ173" l="1"/>
  <c r="BR173"/>
  <c r="BP173"/>
  <c r="AV174"/>
  <c r="BF174" s="1"/>
  <c r="BG174" s="1"/>
  <c r="AX174"/>
  <c r="BD174" s="1"/>
  <c r="BE174" s="1"/>
  <c r="AW174"/>
  <c r="AO175"/>
  <c r="BO174"/>
  <c r="BH174"/>
  <c r="BM173"/>
  <c r="BN173" s="1"/>
  <c r="BJ173"/>
  <c r="BK173" s="1"/>
  <c r="BL173" s="1"/>
  <c r="BI173"/>
  <c r="BA174"/>
  <c r="AZ174"/>
  <c r="BC174"/>
  <c r="AM177"/>
  <c r="AS176"/>
  <c r="AR176"/>
  <c r="AT175"/>
  <c r="AY175"/>
  <c r="BS175" s="1"/>
  <c r="AU175"/>
  <c r="BB174"/>
  <c r="AQ175"/>
  <c r="BJ174" l="1"/>
  <c r="BK174" s="1"/>
  <c r="BL174" s="1"/>
  <c r="BI174"/>
  <c r="BM174"/>
  <c r="BN174" s="1"/>
  <c r="AV175"/>
  <c r="BF175" s="1"/>
  <c r="BG175" s="1"/>
  <c r="BO175"/>
  <c r="AX175"/>
  <c r="BD175" s="1"/>
  <c r="BE175" s="1"/>
  <c r="AW175"/>
  <c r="AO176"/>
  <c r="BH175"/>
  <c r="BQ174"/>
  <c r="BR174"/>
  <c r="BP174"/>
  <c r="BA175"/>
  <c r="AZ175"/>
  <c r="AQ176"/>
  <c r="BA176"/>
  <c r="BB175"/>
  <c r="AY176"/>
  <c r="BS176" s="1"/>
  <c r="AU176"/>
  <c r="AT176"/>
  <c r="BC175"/>
  <c r="AM178"/>
  <c r="AR177"/>
  <c r="AS177"/>
  <c r="BJ175" l="1"/>
  <c r="BK175" s="1"/>
  <c r="BL175" s="1"/>
  <c r="BI175"/>
  <c r="BM175"/>
  <c r="BN175" s="1"/>
  <c r="BP175"/>
  <c r="BQ175"/>
  <c r="BR175"/>
  <c r="AV176"/>
  <c r="BF176" s="1"/>
  <c r="BG176" s="1"/>
  <c r="AW176"/>
  <c r="AX176"/>
  <c r="BD176" s="1"/>
  <c r="BE176" s="1"/>
  <c r="AO177"/>
  <c r="BO176"/>
  <c r="BH176"/>
  <c r="AZ176"/>
  <c r="BC176"/>
  <c r="BB176"/>
  <c r="AM179"/>
  <c r="AS178"/>
  <c r="AR178"/>
  <c r="AY177"/>
  <c r="BS177" s="1"/>
  <c r="AU177"/>
  <c r="AT177"/>
  <c r="AQ177"/>
  <c r="BQ176" l="1"/>
  <c r="BR176"/>
  <c r="BP176"/>
  <c r="AV177"/>
  <c r="BF177" s="1"/>
  <c r="BG177" s="1"/>
  <c r="AW177"/>
  <c r="AX177"/>
  <c r="BD177" s="1"/>
  <c r="BE177" s="1"/>
  <c r="AO178"/>
  <c r="BO177"/>
  <c r="BH177"/>
  <c r="BI176"/>
  <c r="BM176"/>
  <c r="BN176" s="1"/>
  <c r="BJ176"/>
  <c r="BK176" s="1"/>
  <c r="BL176" s="1"/>
  <c r="AZ177"/>
  <c r="AQ178"/>
  <c r="BA177"/>
  <c r="BC177"/>
  <c r="BB177"/>
  <c r="AM180"/>
  <c r="AS179"/>
  <c r="AR179"/>
  <c r="AY178"/>
  <c r="BS178" s="1"/>
  <c r="AU178"/>
  <c r="AT178"/>
  <c r="BR177" l="1"/>
  <c r="BP177"/>
  <c r="BQ177"/>
  <c r="AV178"/>
  <c r="BF178" s="1"/>
  <c r="BG178" s="1"/>
  <c r="BO178"/>
  <c r="AX178"/>
  <c r="BD178" s="1"/>
  <c r="BE178" s="1"/>
  <c r="AO179"/>
  <c r="AW178"/>
  <c r="BH178"/>
  <c r="BM177"/>
  <c r="BN177" s="1"/>
  <c r="BJ177"/>
  <c r="BK177" s="1"/>
  <c r="BL177" s="1"/>
  <c r="BI177"/>
  <c r="BA178"/>
  <c r="AQ179"/>
  <c r="AZ178"/>
  <c r="BB178"/>
  <c r="BC178"/>
  <c r="AT179"/>
  <c r="AY179"/>
  <c r="BS179" s="1"/>
  <c r="AU179"/>
  <c r="AM181"/>
  <c r="AR180"/>
  <c r="AS180"/>
  <c r="AV179" l="1"/>
  <c r="BF179" s="1"/>
  <c r="BG179" s="1"/>
  <c r="AO180"/>
  <c r="AW179"/>
  <c r="AX179"/>
  <c r="BD179" s="1"/>
  <c r="BE179" s="1"/>
  <c r="BO179"/>
  <c r="BH179"/>
  <c r="BI178"/>
  <c r="BM178"/>
  <c r="BN178" s="1"/>
  <c r="BJ178"/>
  <c r="BK178" s="1"/>
  <c r="BL178" s="1"/>
  <c r="BQ178"/>
  <c r="BR178"/>
  <c r="BP178"/>
  <c r="BA179"/>
  <c r="AZ179"/>
  <c r="AQ180"/>
  <c r="BA180"/>
  <c r="AY180"/>
  <c r="BS180" s="1"/>
  <c r="AU180"/>
  <c r="AT180"/>
  <c r="AM182"/>
  <c r="AR181"/>
  <c r="AQ181" s="1"/>
  <c r="AS181"/>
  <c r="BC179"/>
  <c r="BB179"/>
  <c r="BC180" l="1"/>
  <c r="BM179"/>
  <c r="BN179" s="1"/>
  <c r="BJ179"/>
  <c r="BK179" s="1"/>
  <c r="BL179" s="1"/>
  <c r="BI179"/>
  <c r="AV180"/>
  <c r="BF180" s="1"/>
  <c r="BG180" s="1"/>
  <c r="AO181"/>
  <c r="BO180"/>
  <c r="AX180"/>
  <c r="BD180" s="1"/>
  <c r="BE180" s="1"/>
  <c r="AW180"/>
  <c r="BH180"/>
  <c r="BP179"/>
  <c r="BR179"/>
  <c r="BQ179"/>
  <c r="AZ180"/>
  <c r="BB180"/>
  <c r="AT181"/>
  <c r="AY181"/>
  <c r="BS181" s="1"/>
  <c r="AU181"/>
  <c r="AM183"/>
  <c r="AR182"/>
  <c r="AS182"/>
  <c r="AV181" l="1"/>
  <c r="BF181" s="1"/>
  <c r="BG181" s="1"/>
  <c r="AO182"/>
  <c r="BO181"/>
  <c r="AW181"/>
  <c r="AX181"/>
  <c r="BD181" s="1"/>
  <c r="BE181" s="1"/>
  <c r="BH181"/>
  <c r="BQ180"/>
  <c r="BR180"/>
  <c r="BP180"/>
  <c r="BJ180"/>
  <c r="BK180" s="1"/>
  <c r="BL180" s="1"/>
  <c r="BI180"/>
  <c r="BM180"/>
  <c r="BN180" s="1"/>
  <c r="BA181"/>
  <c r="AZ181"/>
  <c r="AQ182"/>
  <c r="AM184"/>
  <c r="AR183"/>
  <c r="AS183"/>
  <c r="BB181"/>
  <c r="AY182"/>
  <c r="BS182" s="1"/>
  <c r="AU182"/>
  <c r="AT182"/>
  <c r="BC181"/>
  <c r="BR181" l="1"/>
  <c r="BQ181"/>
  <c r="BP181"/>
  <c r="BJ181"/>
  <c r="BK181" s="1"/>
  <c r="BL181" s="1"/>
  <c r="BM181"/>
  <c r="BN181" s="1"/>
  <c r="BI181"/>
  <c r="AV182"/>
  <c r="BF182" s="1"/>
  <c r="BG182" s="1"/>
  <c r="AO183"/>
  <c r="AX182"/>
  <c r="BD182" s="1"/>
  <c r="BE182" s="1"/>
  <c r="AW182"/>
  <c r="BO182"/>
  <c r="BH182"/>
  <c r="BA182"/>
  <c r="AZ182"/>
  <c r="AM185"/>
  <c r="AR184"/>
  <c r="AS184"/>
  <c r="AT183"/>
  <c r="AY183"/>
  <c r="BS183" s="1"/>
  <c r="AU183"/>
  <c r="BB182"/>
  <c r="AQ183"/>
  <c r="BC182"/>
  <c r="BQ182" l="1"/>
  <c r="BR182"/>
  <c r="BP182"/>
  <c r="BM182"/>
  <c r="BN182" s="1"/>
  <c r="BI182"/>
  <c r="BJ182"/>
  <c r="BK182" s="1"/>
  <c r="BL182" s="1"/>
  <c r="AV183"/>
  <c r="BF183" s="1"/>
  <c r="BG183" s="1"/>
  <c r="AX183"/>
  <c r="BD183" s="1"/>
  <c r="BE183" s="1"/>
  <c r="AO184"/>
  <c r="BO183"/>
  <c r="AW183"/>
  <c r="BH183"/>
  <c r="AQ184"/>
  <c r="AZ183"/>
  <c r="BA183"/>
  <c r="AY184"/>
  <c r="BS184" s="1"/>
  <c r="AU184"/>
  <c r="AT184"/>
  <c r="AM186"/>
  <c r="AS185"/>
  <c r="AR185"/>
  <c r="BC183"/>
  <c r="BB183"/>
  <c r="BP183" l="1"/>
  <c r="BR183"/>
  <c r="BQ183"/>
  <c r="AV184"/>
  <c r="BF184" s="1"/>
  <c r="BG184" s="1"/>
  <c r="AO185"/>
  <c r="BO184"/>
  <c r="AW184"/>
  <c r="AX184"/>
  <c r="BD184" s="1"/>
  <c r="BE184" s="1"/>
  <c r="BH184"/>
  <c r="BJ183"/>
  <c r="BK183" s="1"/>
  <c r="BL183" s="1"/>
  <c r="BM183"/>
  <c r="BN183" s="1"/>
  <c r="BI183"/>
  <c r="AQ185"/>
  <c r="BA184"/>
  <c r="AZ184"/>
  <c r="BC184"/>
  <c r="AM187"/>
  <c r="AS186"/>
  <c r="AR186"/>
  <c r="AT185"/>
  <c r="AY185"/>
  <c r="BS185" s="1"/>
  <c r="AU185"/>
  <c r="BB184"/>
  <c r="BR184" l="1"/>
  <c r="BQ184"/>
  <c r="BP184"/>
  <c r="BJ184"/>
  <c r="BK184" s="1"/>
  <c r="BL184" s="1"/>
  <c r="BI184"/>
  <c r="BM184"/>
  <c r="BN184" s="1"/>
  <c r="AV185"/>
  <c r="BF185" s="1"/>
  <c r="BG185" s="1"/>
  <c r="BO185"/>
  <c r="AX185"/>
  <c r="BD185" s="1"/>
  <c r="BE185" s="1"/>
  <c r="AO186"/>
  <c r="AW185"/>
  <c r="BH185"/>
  <c r="BA185"/>
  <c r="AZ185"/>
  <c r="AY186"/>
  <c r="BS186" s="1"/>
  <c r="AU186"/>
  <c r="AT186"/>
  <c r="BC185"/>
  <c r="AM188"/>
  <c r="AR187"/>
  <c r="AS187"/>
  <c r="AQ186"/>
  <c r="BB185"/>
  <c r="BJ185" l="1"/>
  <c r="BK185" s="1"/>
  <c r="BL185" s="1"/>
  <c r="BI185"/>
  <c r="BM185"/>
  <c r="BN185" s="1"/>
  <c r="BP185"/>
  <c r="BR185"/>
  <c r="BQ185"/>
  <c r="AV186"/>
  <c r="BF186" s="1"/>
  <c r="BG186" s="1"/>
  <c r="BO186"/>
  <c r="AW186"/>
  <c r="AO187"/>
  <c r="AX186"/>
  <c r="BD186" s="1"/>
  <c r="BE186" s="1"/>
  <c r="BH186"/>
  <c r="AZ186"/>
  <c r="BC186"/>
  <c r="BA186"/>
  <c r="AM189"/>
  <c r="AR188"/>
  <c r="AS188"/>
  <c r="AT187"/>
  <c r="AY187"/>
  <c r="BS187" s="1"/>
  <c r="AU187"/>
  <c r="BB186"/>
  <c r="AQ187"/>
  <c r="BP186" l="1"/>
  <c r="BQ186"/>
  <c r="BR186"/>
  <c r="BI186"/>
  <c r="BM186"/>
  <c r="BN186" s="1"/>
  <c r="BJ186"/>
  <c r="BK186" s="1"/>
  <c r="BL186" s="1"/>
  <c r="AV187"/>
  <c r="BF187" s="1"/>
  <c r="BG187" s="1"/>
  <c r="BO187"/>
  <c r="AW187"/>
  <c r="AX187"/>
  <c r="BD187" s="1"/>
  <c r="BE187" s="1"/>
  <c r="AO188"/>
  <c r="BH187"/>
  <c r="AZ187"/>
  <c r="BA187"/>
  <c r="BB187"/>
  <c r="AY188"/>
  <c r="BS188" s="1"/>
  <c r="AU188"/>
  <c r="AT188"/>
  <c r="AM190"/>
  <c r="AR189"/>
  <c r="AS189"/>
  <c r="AQ188"/>
  <c r="BC187"/>
  <c r="AV188" l="1"/>
  <c r="BF188" s="1"/>
  <c r="BG188" s="1"/>
  <c r="AX188"/>
  <c r="BD188" s="1"/>
  <c r="BE188" s="1"/>
  <c r="BO188"/>
  <c r="AW188"/>
  <c r="AO189"/>
  <c r="BH188"/>
  <c r="BI187"/>
  <c r="BM187"/>
  <c r="BN187" s="1"/>
  <c r="BJ187"/>
  <c r="BK187" s="1"/>
  <c r="BL187" s="1"/>
  <c r="BQ187"/>
  <c r="BR187"/>
  <c r="BP187"/>
  <c r="AZ188"/>
  <c r="AQ189"/>
  <c r="BA188"/>
  <c r="AM191"/>
  <c r="AS190"/>
  <c r="AR190"/>
  <c r="AY189"/>
  <c r="BS189" s="1"/>
  <c r="AU189"/>
  <c r="AT189"/>
  <c r="BB188"/>
  <c r="BC188"/>
  <c r="BM188" l="1"/>
  <c r="BN188" s="1"/>
  <c r="BJ188"/>
  <c r="BK188" s="1"/>
  <c r="BL188" s="1"/>
  <c r="BI188"/>
  <c r="BP188"/>
  <c r="BR188"/>
  <c r="BQ188"/>
  <c r="AV189"/>
  <c r="BF189" s="1"/>
  <c r="BG189" s="1"/>
  <c r="AO190"/>
  <c r="AX189"/>
  <c r="BD189" s="1"/>
  <c r="BE189" s="1"/>
  <c r="AW189"/>
  <c r="BO189"/>
  <c r="BH189"/>
  <c r="BA189"/>
  <c r="AZ189"/>
  <c r="BB189"/>
  <c r="BC189"/>
  <c r="AY190"/>
  <c r="BS190" s="1"/>
  <c r="AU190"/>
  <c r="AT190"/>
  <c r="AQ190"/>
  <c r="AM192"/>
  <c r="AR191"/>
  <c r="AS191"/>
  <c r="BR189" l="1"/>
  <c r="BP189"/>
  <c r="BQ189"/>
  <c r="BI189"/>
  <c r="BM189"/>
  <c r="BN189" s="1"/>
  <c r="BJ189"/>
  <c r="BK189" s="1"/>
  <c r="BL189" s="1"/>
  <c r="AV190"/>
  <c r="BF190" s="1"/>
  <c r="BG190" s="1"/>
  <c r="AX190"/>
  <c r="BD190" s="1"/>
  <c r="BE190" s="1"/>
  <c r="AW190"/>
  <c r="BO190"/>
  <c r="AO191"/>
  <c r="BH190"/>
  <c r="AZ190"/>
  <c r="BA190"/>
  <c r="AM193"/>
  <c r="AS192"/>
  <c r="AR192"/>
  <c r="AQ192" s="1"/>
  <c r="AT191"/>
  <c r="AY191"/>
  <c r="BS191" s="1"/>
  <c r="AU191"/>
  <c r="BB190"/>
  <c r="AQ191"/>
  <c r="BC190"/>
  <c r="BJ190" l="1"/>
  <c r="BK190" s="1"/>
  <c r="BL190" s="1"/>
  <c r="BI190"/>
  <c r="BM190"/>
  <c r="BN190" s="1"/>
  <c r="AV191"/>
  <c r="BF191" s="1"/>
  <c r="BG191" s="1"/>
  <c r="BO191"/>
  <c r="AX191"/>
  <c r="BD191" s="1"/>
  <c r="BE191" s="1"/>
  <c r="AO192"/>
  <c r="AW191"/>
  <c r="BH191"/>
  <c r="BQ190"/>
  <c r="BR190"/>
  <c r="BP190"/>
  <c r="AZ191"/>
  <c r="BA191"/>
  <c r="AY192"/>
  <c r="BS192" s="1"/>
  <c r="AU192"/>
  <c r="AT192"/>
  <c r="BB191"/>
  <c r="BC191"/>
  <c r="AM194"/>
  <c r="AR193"/>
  <c r="AS193"/>
  <c r="AV192" l="1"/>
  <c r="BF192" s="1"/>
  <c r="BG192" s="1"/>
  <c r="AW192"/>
  <c r="AX192"/>
  <c r="BD192" s="1"/>
  <c r="BE192" s="1"/>
  <c r="AO193"/>
  <c r="BO192"/>
  <c r="BH192"/>
  <c r="BC192"/>
  <c r="BI191"/>
  <c r="BM191"/>
  <c r="BN191" s="1"/>
  <c r="BJ191"/>
  <c r="BK191" s="1"/>
  <c r="BL191" s="1"/>
  <c r="BP191"/>
  <c r="BQ191"/>
  <c r="BR191"/>
  <c r="AZ192"/>
  <c r="AQ193"/>
  <c r="BA192"/>
  <c r="AM195"/>
  <c r="AR194"/>
  <c r="AS194"/>
  <c r="BB192"/>
  <c r="AY193"/>
  <c r="BS193" s="1"/>
  <c r="AU193"/>
  <c r="AT193"/>
  <c r="BJ192" l="1"/>
  <c r="BK192" s="1"/>
  <c r="BL192" s="1"/>
  <c r="BI192"/>
  <c r="BM192"/>
  <c r="BN192" s="1"/>
  <c r="AV193"/>
  <c r="BF193" s="1"/>
  <c r="BG193" s="1"/>
  <c r="AO194"/>
  <c r="AX193"/>
  <c r="BD193" s="1"/>
  <c r="BE193" s="1"/>
  <c r="AW193"/>
  <c r="BO193"/>
  <c r="BH193"/>
  <c r="BB193"/>
  <c r="BR192"/>
  <c r="BP192"/>
  <c r="BQ192"/>
  <c r="BC193"/>
  <c r="BA193"/>
  <c r="AZ193"/>
  <c r="AY194"/>
  <c r="BS194" s="1"/>
  <c r="AU194"/>
  <c r="AT194"/>
  <c r="AM196"/>
  <c r="AS195"/>
  <c r="AR195"/>
  <c r="AQ194"/>
  <c r="BR193" l="1"/>
  <c r="BP193"/>
  <c r="BQ193"/>
  <c r="BJ193"/>
  <c r="BK193" s="1"/>
  <c r="BL193" s="1"/>
  <c r="BI193"/>
  <c r="BM193"/>
  <c r="BN193" s="1"/>
  <c r="AV194"/>
  <c r="BF194" s="1"/>
  <c r="BG194" s="1"/>
  <c r="BO194"/>
  <c r="AO195"/>
  <c r="AX194"/>
  <c r="BD194" s="1"/>
  <c r="BE194" s="1"/>
  <c r="AW194"/>
  <c r="BH194"/>
  <c r="AZ194"/>
  <c r="AQ195"/>
  <c r="BA194"/>
  <c r="BB194"/>
  <c r="AT195"/>
  <c r="AY195"/>
  <c r="BS195" s="1"/>
  <c r="AU195"/>
  <c r="AM197"/>
  <c r="AS196"/>
  <c r="AR196"/>
  <c r="BC194"/>
  <c r="BJ194" l="1"/>
  <c r="BK194" s="1"/>
  <c r="BL194" s="1"/>
  <c r="BM194"/>
  <c r="BN194" s="1"/>
  <c r="BI194"/>
  <c r="BQ194"/>
  <c r="BP194"/>
  <c r="BR194"/>
  <c r="AV195"/>
  <c r="BF195" s="1"/>
  <c r="BG195" s="1"/>
  <c r="AX195"/>
  <c r="BD195" s="1"/>
  <c r="BE195" s="1"/>
  <c r="AW195"/>
  <c r="AO196"/>
  <c r="BO195"/>
  <c r="BH195"/>
  <c r="BA195"/>
  <c r="AZ195"/>
  <c r="AQ196"/>
  <c r="BB195"/>
  <c r="AM198"/>
  <c r="AR197"/>
  <c r="AS197"/>
  <c r="BC195"/>
  <c r="AY196"/>
  <c r="BS196" s="1"/>
  <c r="AU196"/>
  <c r="AT196"/>
  <c r="BP195" l="1"/>
  <c r="BR195"/>
  <c r="BQ195"/>
  <c r="AV196"/>
  <c r="BF196" s="1"/>
  <c r="BG196" s="1"/>
  <c r="AX196"/>
  <c r="BD196" s="1"/>
  <c r="BE196" s="1"/>
  <c r="AW196"/>
  <c r="AO197"/>
  <c r="BO196"/>
  <c r="BH196"/>
  <c r="BM195"/>
  <c r="BN195" s="1"/>
  <c r="BJ195"/>
  <c r="BK195" s="1"/>
  <c r="BL195" s="1"/>
  <c r="BI195"/>
  <c r="BA196"/>
  <c r="AQ197"/>
  <c r="AZ196"/>
  <c r="BC196"/>
  <c r="AM199"/>
  <c r="AS198"/>
  <c r="AR198"/>
  <c r="AT197"/>
  <c r="AY197"/>
  <c r="BS197" s="1"/>
  <c r="AU197"/>
  <c r="BB196"/>
  <c r="AV197" l="1"/>
  <c r="BF197" s="1"/>
  <c r="BG197" s="1"/>
  <c r="BO197"/>
  <c r="AX197"/>
  <c r="BD197" s="1"/>
  <c r="BE197" s="1"/>
  <c r="AO198"/>
  <c r="AW197"/>
  <c r="BH197"/>
  <c r="BR196"/>
  <c r="BP196"/>
  <c r="BQ196"/>
  <c r="BI196"/>
  <c r="BM196"/>
  <c r="BN196" s="1"/>
  <c r="BJ196"/>
  <c r="BK196" s="1"/>
  <c r="BL196" s="1"/>
  <c r="BA197"/>
  <c r="AQ198"/>
  <c r="AZ197"/>
  <c r="BB197"/>
  <c r="BC197"/>
  <c r="AY198"/>
  <c r="BS198" s="1"/>
  <c r="AU198"/>
  <c r="AT198"/>
  <c r="AM200"/>
  <c r="AR199"/>
  <c r="AQ199" s="1"/>
  <c r="AS199"/>
  <c r="AV198" l="1"/>
  <c r="BF198" s="1"/>
  <c r="BG198" s="1"/>
  <c r="AO199"/>
  <c r="BO198"/>
  <c r="AW198"/>
  <c r="AX198"/>
  <c r="BD198" s="1"/>
  <c r="BE198" s="1"/>
  <c r="BH198"/>
  <c r="BM197"/>
  <c r="BN197" s="1"/>
  <c r="BJ197"/>
  <c r="BK197" s="1"/>
  <c r="BL197" s="1"/>
  <c r="BI197"/>
  <c r="BQ197"/>
  <c r="BP197"/>
  <c r="BR197"/>
  <c r="BA198"/>
  <c r="AZ198"/>
  <c r="BB198"/>
  <c r="BC198"/>
  <c r="AM201"/>
  <c r="AS200"/>
  <c r="AR200"/>
  <c r="AT199"/>
  <c r="AY199"/>
  <c r="BS199" s="1"/>
  <c r="AU199"/>
  <c r="BQ198" l="1"/>
  <c r="BP198"/>
  <c r="BR198"/>
  <c r="BI198"/>
  <c r="BJ198"/>
  <c r="BK198" s="1"/>
  <c r="BL198" s="1"/>
  <c r="BM198"/>
  <c r="BN198" s="1"/>
  <c r="AV199"/>
  <c r="BF199" s="1"/>
  <c r="BG199" s="1"/>
  <c r="AX199"/>
  <c r="BD199" s="1"/>
  <c r="BE199" s="1"/>
  <c r="BO199"/>
  <c r="AW199"/>
  <c r="AO200"/>
  <c r="BH199"/>
  <c r="AQ200"/>
  <c r="AZ199"/>
  <c r="BA199"/>
  <c r="AY200"/>
  <c r="BS200" s="1"/>
  <c r="AU200"/>
  <c r="AT200"/>
  <c r="AM202"/>
  <c r="AR201"/>
  <c r="AS201"/>
  <c r="BC199"/>
  <c r="BB199"/>
  <c r="BM199" l="1"/>
  <c r="BN199" s="1"/>
  <c r="BI199"/>
  <c r="BJ199"/>
  <c r="BK199" s="1"/>
  <c r="BL199" s="1"/>
  <c r="AV200"/>
  <c r="BF200" s="1"/>
  <c r="BG200" s="1"/>
  <c r="AO201"/>
  <c r="AW200"/>
  <c r="AX200"/>
  <c r="BD200" s="1"/>
  <c r="BE200" s="1"/>
  <c r="BO200"/>
  <c r="BH200"/>
  <c r="BQ199"/>
  <c r="BP199"/>
  <c r="BR199"/>
  <c r="BC200"/>
  <c r="BA200"/>
  <c r="AZ200"/>
  <c r="AM203"/>
  <c r="AR202"/>
  <c r="AS202"/>
  <c r="AQ201"/>
  <c r="AT201"/>
  <c r="AY201"/>
  <c r="BS201" s="1"/>
  <c r="AU201"/>
  <c r="BB200"/>
  <c r="BM200" l="1"/>
  <c r="BN200" s="1"/>
  <c r="BJ200"/>
  <c r="BK200" s="1"/>
  <c r="BL200" s="1"/>
  <c r="BI200"/>
  <c r="AV201"/>
  <c r="BF201" s="1"/>
  <c r="BG201" s="1"/>
  <c r="AW201"/>
  <c r="AX201"/>
  <c r="BD201" s="1"/>
  <c r="BE201" s="1"/>
  <c r="AO202"/>
  <c r="BO201"/>
  <c r="BH201"/>
  <c r="BQ200"/>
  <c r="BP200"/>
  <c r="BR200"/>
  <c r="AZ201"/>
  <c r="AQ202"/>
  <c r="BA201"/>
  <c r="BB201"/>
  <c r="AY202"/>
  <c r="BS202" s="1"/>
  <c r="AU202"/>
  <c r="AT202"/>
  <c r="AM204"/>
  <c r="AR203"/>
  <c r="AS203"/>
  <c r="BC201"/>
  <c r="BQ201" l="1"/>
  <c r="BR201"/>
  <c r="BP201"/>
  <c r="AV202"/>
  <c r="BF202" s="1"/>
  <c r="BG202" s="1"/>
  <c r="AX202"/>
  <c r="BD202" s="1"/>
  <c r="BE202" s="1"/>
  <c r="AO203"/>
  <c r="BO202"/>
  <c r="AW202"/>
  <c r="BH202"/>
  <c r="BI201"/>
  <c r="BM201"/>
  <c r="BN201" s="1"/>
  <c r="BJ201"/>
  <c r="BK201" s="1"/>
  <c r="BL201" s="1"/>
  <c r="BA202"/>
  <c r="AZ202"/>
  <c r="AQ203"/>
  <c r="BC202"/>
  <c r="BB202"/>
  <c r="AM205"/>
  <c r="AS204"/>
  <c r="AR204"/>
  <c r="AT203"/>
  <c r="AY203"/>
  <c r="BS203" s="1"/>
  <c r="AU203"/>
  <c r="BC203" l="1"/>
  <c r="BI202"/>
  <c r="BM202"/>
  <c r="BN202" s="1"/>
  <c r="BJ202"/>
  <c r="BK202" s="1"/>
  <c r="BL202" s="1"/>
  <c r="BR202"/>
  <c r="BQ202"/>
  <c r="BP202"/>
  <c r="AV203"/>
  <c r="BF203" s="1"/>
  <c r="BG203" s="1"/>
  <c r="AX203"/>
  <c r="BD203" s="1"/>
  <c r="BE203" s="1"/>
  <c r="AO204"/>
  <c r="BO203"/>
  <c r="AW203"/>
  <c r="BH203"/>
  <c r="BA203"/>
  <c r="AZ203"/>
  <c r="AY204"/>
  <c r="BS204" s="1"/>
  <c r="AU204"/>
  <c r="AT204"/>
  <c r="BB203"/>
  <c r="AQ204"/>
  <c r="AM206"/>
  <c r="AS205"/>
  <c r="AR205"/>
  <c r="BJ203" l="1"/>
  <c r="BK203" s="1"/>
  <c r="BL203" s="1"/>
  <c r="BI203"/>
  <c r="BM203"/>
  <c r="BN203" s="1"/>
  <c r="BP203"/>
  <c r="BQ203"/>
  <c r="BR203"/>
  <c r="AV204"/>
  <c r="BF204" s="1"/>
  <c r="BG204" s="1"/>
  <c r="BO204"/>
  <c r="AX204"/>
  <c r="BD204" s="1"/>
  <c r="BE204" s="1"/>
  <c r="AO205"/>
  <c r="AW204"/>
  <c r="BH204"/>
  <c r="AZ204"/>
  <c r="AQ205"/>
  <c r="BA204"/>
  <c r="BC204"/>
  <c r="AY205"/>
  <c r="BS205" s="1"/>
  <c r="AU205"/>
  <c r="AT205"/>
  <c r="BB204"/>
  <c r="AM207"/>
  <c r="AR206"/>
  <c r="AS206"/>
  <c r="BI204" l="1"/>
  <c r="BM204"/>
  <c r="BN204" s="1"/>
  <c r="BJ204"/>
  <c r="BK204" s="1"/>
  <c r="BL204" s="1"/>
  <c r="BP204"/>
  <c r="BQ204"/>
  <c r="BR204"/>
  <c r="AV205"/>
  <c r="BF205" s="1"/>
  <c r="BG205" s="1"/>
  <c r="BO205"/>
  <c r="AX205"/>
  <c r="BD205" s="1"/>
  <c r="BE205" s="1"/>
  <c r="AW205"/>
  <c r="AO206"/>
  <c r="BH205"/>
  <c r="BA205"/>
  <c r="AQ206"/>
  <c r="AZ205"/>
  <c r="AY206"/>
  <c r="BS206" s="1"/>
  <c r="AU206"/>
  <c r="AT206"/>
  <c r="AM208"/>
  <c r="AR207"/>
  <c r="AS207"/>
  <c r="BC205"/>
  <c r="BB205"/>
  <c r="AV206" l="1"/>
  <c r="BF206" s="1"/>
  <c r="BG206" s="1"/>
  <c r="AW206"/>
  <c r="BO206"/>
  <c r="AO207"/>
  <c r="AX206"/>
  <c r="BD206" s="1"/>
  <c r="BE206" s="1"/>
  <c r="BH206"/>
  <c r="BM205"/>
  <c r="BN205" s="1"/>
  <c r="BJ205"/>
  <c r="BK205" s="1"/>
  <c r="BL205" s="1"/>
  <c r="BI205"/>
  <c r="BR205"/>
  <c r="BP205"/>
  <c r="BQ205"/>
  <c r="BA206"/>
  <c r="AZ206"/>
  <c r="BC206"/>
  <c r="AQ207"/>
  <c r="AM209"/>
  <c r="AS208"/>
  <c r="AR208"/>
  <c r="BB206"/>
  <c r="AT207"/>
  <c r="AY207"/>
  <c r="BS207" s="1"/>
  <c r="AU207"/>
  <c r="AV207" l="1"/>
  <c r="BF207" s="1"/>
  <c r="BG207" s="1"/>
  <c r="AO208"/>
  <c r="AX207"/>
  <c r="BD207" s="1"/>
  <c r="BE207" s="1"/>
  <c r="AW207"/>
  <c r="BO207"/>
  <c r="BH207"/>
  <c r="BQ206"/>
  <c r="BR206"/>
  <c r="BP206"/>
  <c r="BM206"/>
  <c r="BN206" s="1"/>
  <c r="BJ206"/>
  <c r="BK206" s="1"/>
  <c r="BL206" s="1"/>
  <c r="BI206"/>
  <c r="AZ207"/>
  <c r="BA207"/>
  <c r="AM210"/>
  <c r="AR209"/>
  <c r="AS209"/>
  <c r="AY208"/>
  <c r="BS208" s="1"/>
  <c r="AU208"/>
  <c r="AT208"/>
  <c r="BB207"/>
  <c r="AQ208"/>
  <c r="BC207"/>
  <c r="BP207" l="1"/>
  <c r="BQ207"/>
  <c r="BR207"/>
  <c r="BM207"/>
  <c r="BN207" s="1"/>
  <c r="BJ207"/>
  <c r="BK207" s="1"/>
  <c r="BL207" s="1"/>
  <c r="BI207"/>
  <c r="AV208"/>
  <c r="BF208" s="1"/>
  <c r="BG208" s="1"/>
  <c r="AO209"/>
  <c r="BO208"/>
  <c r="AX208"/>
  <c r="BD208" s="1"/>
  <c r="BE208" s="1"/>
  <c r="AW208"/>
  <c r="BH208"/>
  <c r="AZ208"/>
  <c r="AQ209"/>
  <c r="BA208"/>
  <c r="BB208"/>
  <c r="BC208"/>
  <c r="AM211"/>
  <c r="AS210"/>
  <c r="AR210"/>
  <c r="AY209"/>
  <c r="BS209" s="1"/>
  <c r="AU209"/>
  <c r="AT209"/>
  <c r="BR208" l="1"/>
  <c r="BP208"/>
  <c r="BQ208"/>
  <c r="BM208"/>
  <c r="BN208" s="1"/>
  <c r="BJ208"/>
  <c r="BK208" s="1"/>
  <c r="BL208" s="1"/>
  <c r="BI208"/>
  <c r="AV209"/>
  <c r="BF209" s="1"/>
  <c r="BG209" s="1"/>
  <c r="AW209"/>
  <c r="AX209"/>
  <c r="BD209" s="1"/>
  <c r="BE209" s="1"/>
  <c r="AO210"/>
  <c r="BO209"/>
  <c r="BH209"/>
  <c r="BA209"/>
  <c r="BC209"/>
  <c r="AZ209"/>
  <c r="AQ210"/>
  <c r="AY210"/>
  <c r="BS210" s="1"/>
  <c r="AU210"/>
  <c r="AT210"/>
  <c r="AM212"/>
  <c r="AR211"/>
  <c r="AS211"/>
  <c r="BB209"/>
  <c r="BP209" l="1"/>
  <c r="BQ209"/>
  <c r="BR209"/>
  <c r="AV210"/>
  <c r="BF210" s="1"/>
  <c r="BG210" s="1"/>
  <c r="AO211"/>
  <c r="BO210"/>
  <c r="AX210"/>
  <c r="BD210" s="1"/>
  <c r="BE210" s="1"/>
  <c r="AW210"/>
  <c r="BH210"/>
  <c r="BI209"/>
  <c r="BM209"/>
  <c r="BN209" s="1"/>
  <c r="BJ209"/>
  <c r="BK209" s="1"/>
  <c r="BL209" s="1"/>
  <c r="AZ210"/>
  <c r="BA210"/>
  <c r="AQ211"/>
  <c r="BA211"/>
  <c r="BB210"/>
  <c r="BC210"/>
  <c r="AM213"/>
  <c r="AR212"/>
  <c r="AS212"/>
  <c r="AT211"/>
  <c r="AY211"/>
  <c r="BS211" s="1"/>
  <c r="AU211"/>
  <c r="BR210" l="1"/>
  <c r="BP210"/>
  <c r="BQ210"/>
  <c r="BM210"/>
  <c r="BN210" s="1"/>
  <c r="BI210"/>
  <c r="BJ210"/>
  <c r="BK210" s="1"/>
  <c r="BL210" s="1"/>
  <c r="AV211"/>
  <c r="BF211" s="1"/>
  <c r="BG211" s="1"/>
  <c r="AW211"/>
  <c r="AO212"/>
  <c r="BO211"/>
  <c r="AX211"/>
  <c r="BD211" s="1"/>
  <c r="BE211" s="1"/>
  <c r="BH211"/>
  <c r="AZ211"/>
  <c r="BC211"/>
  <c r="AY212"/>
  <c r="BS212" s="1"/>
  <c r="AU212"/>
  <c r="AT212"/>
  <c r="AM214"/>
  <c r="AS213"/>
  <c r="AR213"/>
  <c r="AQ212"/>
  <c r="BB211"/>
  <c r="AV212" l="1"/>
  <c r="BF212" s="1"/>
  <c r="BG212" s="1"/>
  <c r="BO212"/>
  <c r="AX212"/>
  <c r="BD212" s="1"/>
  <c r="BE212" s="1"/>
  <c r="AW212"/>
  <c r="AO213"/>
  <c r="BH212"/>
  <c r="BP211"/>
  <c r="BQ211"/>
  <c r="BR211"/>
  <c r="BI211"/>
  <c r="BM211"/>
  <c r="BN211" s="1"/>
  <c r="BJ211"/>
  <c r="BK211" s="1"/>
  <c r="BL211" s="1"/>
  <c r="AZ212"/>
  <c r="BA212"/>
  <c r="BB212"/>
  <c r="AT213"/>
  <c r="AY213"/>
  <c r="BS213" s="1"/>
  <c r="AU213"/>
  <c r="AM215"/>
  <c r="AS214"/>
  <c r="AR214"/>
  <c r="AQ214" s="1"/>
  <c r="BC212"/>
  <c r="AQ213"/>
  <c r="AZ213" s="1"/>
  <c r="BJ212" l="1"/>
  <c r="BK212" s="1"/>
  <c r="BL212" s="1"/>
  <c r="BM212"/>
  <c r="BN212" s="1"/>
  <c r="BI212"/>
  <c r="BQ212"/>
  <c r="BR212"/>
  <c r="BP212"/>
  <c r="AV213"/>
  <c r="BF213" s="1"/>
  <c r="BG213" s="1"/>
  <c r="BO213"/>
  <c r="AW213"/>
  <c r="AX213"/>
  <c r="BD213" s="1"/>
  <c r="BE213" s="1"/>
  <c r="AO214"/>
  <c r="BH213"/>
  <c r="BA213"/>
  <c r="BC213"/>
  <c r="AM216"/>
  <c r="AS215"/>
  <c r="AR215"/>
  <c r="BB213"/>
  <c r="AY214"/>
  <c r="BS214" s="1"/>
  <c r="AU214"/>
  <c r="AT214"/>
  <c r="AV214" l="1"/>
  <c r="BF214" s="1"/>
  <c r="BG214" s="1"/>
  <c r="AO215"/>
  <c r="AX214"/>
  <c r="BD214" s="1"/>
  <c r="BE214" s="1"/>
  <c r="AW214"/>
  <c r="BO214"/>
  <c r="BH214"/>
  <c r="BI213"/>
  <c r="BM213"/>
  <c r="BN213" s="1"/>
  <c r="BJ213"/>
  <c r="BK213" s="1"/>
  <c r="BL213" s="1"/>
  <c r="BQ213"/>
  <c r="BP213"/>
  <c r="BR213"/>
  <c r="AQ215"/>
  <c r="BA214"/>
  <c r="AZ214"/>
  <c r="BB214"/>
  <c r="AM217"/>
  <c r="AR216"/>
  <c r="AS216"/>
  <c r="AT215"/>
  <c r="AY215"/>
  <c r="BS215" s="1"/>
  <c r="AU215"/>
  <c r="BC214"/>
  <c r="BM214" l="1"/>
  <c r="BN214" s="1"/>
  <c r="BI214"/>
  <c r="BJ214"/>
  <c r="BK214" s="1"/>
  <c r="BL214" s="1"/>
  <c r="AV215"/>
  <c r="BF215" s="1"/>
  <c r="BG215" s="1"/>
  <c r="AO216"/>
  <c r="AX215"/>
  <c r="BD215" s="1"/>
  <c r="BE215" s="1"/>
  <c r="BO215"/>
  <c r="AW215"/>
  <c r="BH215"/>
  <c r="BP214"/>
  <c r="BQ214"/>
  <c r="BR214"/>
  <c r="BA215"/>
  <c r="AQ216"/>
  <c r="AZ215"/>
  <c r="BC215"/>
  <c r="AM218"/>
  <c r="AR217"/>
  <c r="AS217"/>
  <c r="BB215"/>
  <c r="AY216"/>
  <c r="BS216" s="1"/>
  <c r="AU216"/>
  <c r="AT216"/>
  <c r="BQ215" l="1"/>
  <c r="BP215"/>
  <c r="BR215"/>
  <c r="BM215"/>
  <c r="BN215" s="1"/>
  <c r="BJ215"/>
  <c r="BK215" s="1"/>
  <c r="BL215" s="1"/>
  <c r="BI215"/>
  <c r="AV216"/>
  <c r="BF216" s="1"/>
  <c r="BG216" s="1"/>
  <c r="BO216"/>
  <c r="AW216"/>
  <c r="AX216"/>
  <c r="BD216" s="1"/>
  <c r="BE216" s="1"/>
  <c r="AO217"/>
  <c r="BH216"/>
  <c r="BA216"/>
  <c r="AZ216"/>
  <c r="BB216"/>
  <c r="BC216"/>
  <c r="AT217"/>
  <c r="AY217"/>
  <c r="BS217" s="1"/>
  <c r="AU217"/>
  <c r="AM219"/>
  <c r="AS218"/>
  <c r="AR218"/>
  <c r="AQ217"/>
  <c r="AZ217" s="1"/>
  <c r="BJ216" l="1"/>
  <c r="BK216" s="1"/>
  <c r="BL216" s="1"/>
  <c r="BI216"/>
  <c r="BM216"/>
  <c r="BN216" s="1"/>
  <c r="BP216"/>
  <c r="BQ216"/>
  <c r="BR216"/>
  <c r="AV217"/>
  <c r="BF217" s="1"/>
  <c r="BG217" s="1"/>
  <c r="AO218"/>
  <c r="BO217"/>
  <c r="AX217"/>
  <c r="BD217" s="1"/>
  <c r="BE217" s="1"/>
  <c r="AW217"/>
  <c r="BH217"/>
  <c r="BA217"/>
  <c r="AQ218"/>
  <c r="BC217"/>
  <c r="AY218"/>
  <c r="BS218" s="1"/>
  <c r="AU218"/>
  <c r="AT218"/>
  <c r="BB217"/>
  <c r="AM220"/>
  <c r="AR219"/>
  <c r="AS219"/>
  <c r="BM217" l="1"/>
  <c r="BN217" s="1"/>
  <c r="BJ217"/>
  <c r="BK217" s="1"/>
  <c r="BL217" s="1"/>
  <c r="BI217"/>
  <c r="AV218"/>
  <c r="BF218" s="1"/>
  <c r="BG218" s="1"/>
  <c r="BO218"/>
  <c r="AW218"/>
  <c r="AX218"/>
  <c r="BD218" s="1"/>
  <c r="BE218" s="1"/>
  <c r="AO219"/>
  <c r="BH218"/>
  <c r="BR217"/>
  <c r="BP217"/>
  <c r="BQ217"/>
  <c r="BB218"/>
  <c r="BA218"/>
  <c r="AQ219"/>
  <c r="AZ218"/>
  <c r="BC218"/>
  <c r="AM221"/>
  <c r="AS220"/>
  <c r="AR220"/>
  <c r="AT219"/>
  <c r="AY219"/>
  <c r="BS219" s="1"/>
  <c r="AU219"/>
  <c r="AV219" l="1"/>
  <c r="BF219" s="1"/>
  <c r="BG219" s="1"/>
  <c r="AW219"/>
  <c r="AX219"/>
  <c r="BD219" s="1"/>
  <c r="BE219" s="1"/>
  <c r="AO220"/>
  <c r="BO219"/>
  <c r="BH219"/>
  <c r="BJ218"/>
  <c r="BK218" s="1"/>
  <c r="BL218" s="1"/>
  <c r="BI218"/>
  <c r="BM218"/>
  <c r="BN218" s="1"/>
  <c r="BR218"/>
  <c r="BP218"/>
  <c r="BQ218"/>
  <c r="BA219"/>
  <c r="AZ219"/>
  <c r="AQ220"/>
  <c r="BC219"/>
  <c r="BB219"/>
  <c r="AY220"/>
  <c r="BS220" s="1"/>
  <c r="AU220"/>
  <c r="AT220"/>
  <c r="AM222"/>
  <c r="AS221"/>
  <c r="AR221"/>
  <c r="BP219" l="1"/>
  <c r="BQ219"/>
  <c r="BR219"/>
  <c r="BJ219"/>
  <c r="BK219" s="1"/>
  <c r="BL219" s="1"/>
  <c r="BM219"/>
  <c r="BN219" s="1"/>
  <c r="BI219"/>
  <c r="AV220"/>
  <c r="BF220" s="1"/>
  <c r="BG220" s="1"/>
  <c r="BO220"/>
  <c r="AW220"/>
  <c r="AX220"/>
  <c r="BD220" s="1"/>
  <c r="BE220" s="1"/>
  <c r="AO221"/>
  <c r="BH220"/>
  <c r="BA220"/>
  <c r="AZ220"/>
  <c r="BA221"/>
  <c r="BB220"/>
  <c r="BC220"/>
  <c r="AY221"/>
  <c r="BS221" s="1"/>
  <c r="AU221"/>
  <c r="AT221"/>
  <c r="AM223"/>
  <c r="AS222"/>
  <c r="AR222"/>
  <c r="AQ221"/>
  <c r="AV221" l="1"/>
  <c r="BF221" s="1"/>
  <c r="BG221" s="1"/>
  <c r="AO222"/>
  <c r="AX221"/>
  <c r="BD221" s="1"/>
  <c r="BE221" s="1"/>
  <c r="AW221"/>
  <c r="BO221"/>
  <c r="BH221"/>
  <c r="BM220"/>
  <c r="BN220" s="1"/>
  <c r="BJ220"/>
  <c r="BK220" s="1"/>
  <c r="BL220" s="1"/>
  <c r="BI220"/>
  <c r="BQ220"/>
  <c r="BR220"/>
  <c r="BP220"/>
  <c r="AZ221"/>
  <c r="AQ222"/>
  <c r="BB221"/>
  <c r="AM224"/>
  <c r="AS223"/>
  <c r="AR223"/>
  <c r="AY222"/>
  <c r="BS222" s="1"/>
  <c r="AU222"/>
  <c r="AT222"/>
  <c r="BC221"/>
  <c r="BM221" l="1"/>
  <c r="BN221" s="1"/>
  <c r="BJ221"/>
  <c r="BK221" s="1"/>
  <c r="BL221" s="1"/>
  <c r="BI221"/>
  <c r="AV222"/>
  <c r="BF222" s="1"/>
  <c r="BG222" s="1"/>
  <c r="AX222"/>
  <c r="BD222" s="1"/>
  <c r="BE222" s="1"/>
  <c r="BO222"/>
  <c r="AO223"/>
  <c r="AW222"/>
  <c r="BH222"/>
  <c r="BR221"/>
  <c r="BP221"/>
  <c r="BQ221"/>
  <c r="BA222"/>
  <c r="AQ223"/>
  <c r="AZ222"/>
  <c r="AT223"/>
  <c r="AY223"/>
  <c r="BS223" s="1"/>
  <c r="AU223"/>
  <c r="BC222"/>
  <c r="AM225"/>
  <c r="AR224"/>
  <c r="AQ224" s="1"/>
  <c r="AS224"/>
  <c r="BB222"/>
  <c r="BR222" l="1"/>
  <c r="BP222"/>
  <c r="BQ222"/>
  <c r="BM222"/>
  <c r="BN222" s="1"/>
  <c r="BJ222"/>
  <c r="BK222" s="1"/>
  <c r="BL222" s="1"/>
  <c r="BI222"/>
  <c r="AV223"/>
  <c r="BF223" s="1"/>
  <c r="BG223" s="1"/>
  <c r="AX223"/>
  <c r="BD223" s="1"/>
  <c r="BE223" s="1"/>
  <c r="AO224"/>
  <c r="BO223"/>
  <c r="AW223"/>
  <c r="BH223"/>
  <c r="BA223"/>
  <c r="AZ223"/>
  <c r="BB223"/>
  <c r="AY224"/>
  <c r="BS224" s="1"/>
  <c r="AU224"/>
  <c r="AT224"/>
  <c r="AM226"/>
  <c r="AS225"/>
  <c r="AR225"/>
  <c r="BC223"/>
  <c r="BC224" l="1"/>
  <c r="BM223"/>
  <c r="BN223" s="1"/>
  <c r="BJ223"/>
  <c r="BK223" s="1"/>
  <c r="BL223" s="1"/>
  <c r="BI223"/>
  <c r="BP223"/>
  <c r="BQ223"/>
  <c r="BR223"/>
  <c r="AV224"/>
  <c r="BF224" s="1"/>
  <c r="BG224" s="1"/>
  <c r="AX224"/>
  <c r="BD224" s="1"/>
  <c r="BE224" s="1"/>
  <c r="AW224"/>
  <c r="AO225"/>
  <c r="BO224"/>
  <c r="BH224"/>
  <c r="BA224"/>
  <c r="AQ225"/>
  <c r="AZ224"/>
  <c r="AY225"/>
  <c r="BS225" s="1"/>
  <c r="AU225"/>
  <c r="AT225"/>
  <c r="BB224"/>
  <c r="AM227"/>
  <c r="AS226"/>
  <c r="AR226"/>
  <c r="AV225" l="1"/>
  <c r="BF225" s="1"/>
  <c r="BG225" s="1"/>
  <c r="BO225"/>
  <c r="AX225"/>
  <c r="BD225" s="1"/>
  <c r="BE225" s="1"/>
  <c r="AW225"/>
  <c r="AO226"/>
  <c r="BH225"/>
  <c r="BM224"/>
  <c r="BN224" s="1"/>
  <c r="BI224"/>
  <c r="BJ224"/>
  <c r="BK224" s="1"/>
  <c r="BL224" s="1"/>
  <c r="BR224"/>
  <c r="BQ224"/>
  <c r="BP224"/>
  <c r="BA225"/>
  <c r="AZ225"/>
  <c r="AQ226"/>
  <c r="BB225"/>
  <c r="BC225"/>
  <c r="AY226"/>
  <c r="BS226" s="1"/>
  <c r="AU226"/>
  <c r="AT226"/>
  <c r="AM228"/>
  <c r="AS227"/>
  <c r="AR227"/>
  <c r="BI225" l="1"/>
  <c r="BJ225"/>
  <c r="BK225" s="1"/>
  <c r="BL225" s="1"/>
  <c r="BM225"/>
  <c r="BN225" s="1"/>
  <c r="BP225"/>
  <c r="BQ225"/>
  <c r="BR225"/>
  <c r="AV226"/>
  <c r="BF226" s="1"/>
  <c r="BG226" s="1"/>
  <c r="AO227"/>
  <c r="AW226"/>
  <c r="AX226"/>
  <c r="BD226" s="1"/>
  <c r="BE226" s="1"/>
  <c r="BO226"/>
  <c r="BH226"/>
  <c r="BA226"/>
  <c r="AZ226"/>
  <c r="BB226"/>
  <c r="BC226"/>
  <c r="AM229"/>
  <c r="AR228"/>
  <c r="AS228"/>
  <c r="AT227"/>
  <c r="AY227"/>
  <c r="BS227" s="1"/>
  <c r="AU227"/>
  <c r="AQ227"/>
  <c r="BJ226" l="1"/>
  <c r="BK226" s="1"/>
  <c r="BL226" s="1"/>
  <c r="BI226"/>
  <c r="BM226"/>
  <c r="BN226" s="1"/>
  <c r="BR226"/>
  <c r="BP226"/>
  <c r="BQ226"/>
  <c r="AV227"/>
  <c r="BF227" s="1"/>
  <c r="BG227" s="1"/>
  <c r="AX227"/>
  <c r="BD227" s="1"/>
  <c r="BE227" s="1"/>
  <c r="AO228"/>
  <c r="AW227"/>
  <c r="BO227"/>
  <c r="BH227"/>
  <c r="BA227"/>
  <c r="AZ227"/>
  <c r="AQ228"/>
  <c r="BB227"/>
  <c r="BC227"/>
  <c r="AY228"/>
  <c r="BS228" s="1"/>
  <c r="AU228"/>
  <c r="AT228"/>
  <c r="AM230"/>
  <c r="AR229"/>
  <c r="AS229"/>
  <c r="BM227" l="1"/>
  <c r="BN227" s="1"/>
  <c r="BJ227"/>
  <c r="BK227" s="1"/>
  <c r="BL227" s="1"/>
  <c r="BI227"/>
  <c r="BP227"/>
  <c r="BQ227"/>
  <c r="BR227"/>
  <c r="AV228"/>
  <c r="BF228" s="1"/>
  <c r="BG228" s="1"/>
  <c r="AX228"/>
  <c r="BD228" s="1"/>
  <c r="BE228" s="1"/>
  <c r="BO228"/>
  <c r="AW228"/>
  <c r="AO229"/>
  <c r="BH228"/>
  <c r="BC228"/>
  <c r="BB228"/>
  <c r="AZ228"/>
  <c r="AQ229"/>
  <c r="BA228"/>
  <c r="AM231"/>
  <c r="AS230"/>
  <c r="AR230"/>
  <c r="AT229"/>
  <c r="AY229"/>
  <c r="BS229" s="1"/>
  <c r="AU229"/>
  <c r="AV229" l="1"/>
  <c r="BF229" s="1"/>
  <c r="BG229" s="1"/>
  <c r="AW229"/>
  <c r="BO229"/>
  <c r="AO230"/>
  <c r="AX229"/>
  <c r="BD229" s="1"/>
  <c r="BE229" s="1"/>
  <c r="BH229"/>
  <c r="BQ228"/>
  <c r="BR228"/>
  <c r="BP228"/>
  <c r="BJ228"/>
  <c r="BK228" s="1"/>
  <c r="BL228" s="1"/>
  <c r="BM228"/>
  <c r="BN228" s="1"/>
  <c r="BI228"/>
  <c r="AZ229"/>
  <c r="AQ230"/>
  <c r="BA229"/>
  <c r="BC229"/>
  <c r="BB229"/>
  <c r="AY230"/>
  <c r="BS230" s="1"/>
  <c r="AU230"/>
  <c r="AT230"/>
  <c r="AM232"/>
  <c r="AR231"/>
  <c r="AS231"/>
  <c r="AV230" l="1"/>
  <c r="BF230" s="1"/>
  <c r="BG230" s="1"/>
  <c r="AO231"/>
  <c r="AX230"/>
  <c r="BD230" s="1"/>
  <c r="BE230" s="1"/>
  <c r="AW230"/>
  <c r="BO230"/>
  <c r="BH230"/>
  <c r="BP229"/>
  <c r="BR229"/>
  <c r="BQ229"/>
  <c r="BI229"/>
  <c r="BM229"/>
  <c r="BN229" s="1"/>
  <c r="BJ229"/>
  <c r="BK229" s="1"/>
  <c r="BL229" s="1"/>
  <c r="AQ231"/>
  <c r="BA230"/>
  <c r="AZ230"/>
  <c r="BC230"/>
  <c r="AM233"/>
  <c r="AS232"/>
  <c r="AR232"/>
  <c r="AT231"/>
  <c r="AY231"/>
  <c r="BS231" s="1"/>
  <c r="AU231"/>
  <c r="BB230"/>
  <c r="BP230" l="1"/>
  <c r="BR230"/>
  <c r="BQ230"/>
  <c r="BI230"/>
  <c r="BJ230"/>
  <c r="BK230" s="1"/>
  <c r="BL230" s="1"/>
  <c r="BM230"/>
  <c r="BN230" s="1"/>
  <c r="AV231"/>
  <c r="BF231" s="1"/>
  <c r="BG231" s="1"/>
  <c r="AX231"/>
  <c r="BD231" s="1"/>
  <c r="BE231" s="1"/>
  <c r="AO232"/>
  <c r="BO231"/>
  <c r="AW231"/>
  <c r="BH231"/>
  <c r="BA231"/>
  <c r="BA232"/>
  <c r="AZ231"/>
  <c r="BC231"/>
  <c r="AY232"/>
  <c r="BS232" s="1"/>
  <c r="AU232"/>
  <c r="AT232"/>
  <c r="BB231"/>
  <c r="AQ232"/>
  <c r="AZ232" s="1"/>
  <c r="AM234"/>
  <c r="AR233"/>
  <c r="AS233"/>
  <c r="BI231" l="1"/>
  <c r="BJ231"/>
  <c r="BK231" s="1"/>
  <c r="BL231" s="1"/>
  <c r="BM231"/>
  <c r="BN231" s="1"/>
  <c r="BQ231"/>
  <c r="BP231"/>
  <c r="BR231"/>
  <c r="AV232"/>
  <c r="BF232" s="1"/>
  <c r="BG232" s="1"/>
  <c r="AX232"/>
  <c r="BD232" s="1"/>
  <c r="BE232" s="1"/>
  <c r="AW232"/>
  <c r="AO233"/>
  <c r="BO232"/>
  <c r="BH232"/>
  <c r="BB232"/>
  <c r="AT233"/>
  <c r="AY233"/>
  <c r="BS233" s="1"/>
  <c r="AU233"/>
  <c r="AM235"/>
  <c r="AS234"/>
  <c r="AR234"/>
  <c r="AQ233"/>
  <c r="BC232"/>
  <c r="AV233" l="1"/>
  <c r="BO233"/>
  <c r="AX233"/>
  <c r="BD233" s="1"/>
  <c r="BE233" s="1"/>
  <c r="AW233"/>
  <c r="AO234"/>
  <c r="BH233"/>
  <c r="BM232"/>
  <c r="BN232" s="1"/>
  <c r="BJ232"/>
  <c r="BK232" s="1"/>
  <c r="BL232" s="1"/>
  <c r="BI232"/>
  <c r="BP232"/>
  <c r="BQ232"/>
  <c r="BR232"/>
  <c r="AZ233"/>
  <c r="AQ234"/>
  <c r="BA233"/>
  <c r="BB233"/>
  <c r="BF233"/>
  <c r="BG233" s="1"/>
  <c r="AM236"/>
  <c r="AS235"/>
  <c r="AR235"/>
  <c r="AY234"/>
  <c r="BS234" s="1"/>
  <c r="AU234"/>
  <c r="AT234"/>
  <c r="BC233"/>
  <c r="BI233" l="1"/>
  <c r="BJ233"/>
  <c r="BK233" s="1"/>
  <c r="BL233" s="1"/>
  <c r="BM233"/>
  <c r="BN233" s="1"/>
  <c r="BP233"/>
  <c r="BQ233"/>
  <c r="BR233"/>
  <c r="AV234"/>
  <c r="BF234" s="1"/>
  <c r="BG234" s="1"/>
  <c r="BO234"/>
  <c r="AW234"/>
  <c r="AX234"/>
  <c r="BD234" s="1"/>
  <c r="BE234" s="1"/>
  <c r="AO235"/>
  <c r="BH234"/>
  <c r="BA234"/>
  <c r="AZ234"/>
  <c r="BC234"/>
  <c r="AM237"/>
  <c r="AR236"/>
  <c r="AS236"/>
  <c r="AQ235"/>
  <c r="AT235"/>
  <c r="AY235"/>
  <c r="BS235" s="1"/>
  <c r="AU235"/>
  <c r="BB234"/>
  <c r="AV235" l="1"/>
  <c r="BF235" s="1"/>
  <c r="BG235" s="1"/>
  <c r="AW235"/>
  <c r="AX235"/>
  <c r="BD235" s="1"/>
  <c r="BE235" s="1"/>
  <c r="AO236"/>
  <c r="BO235"/>
  <c r="BH235"/>
  <c r="BI234"/>
  <c r="BM234"/>
  <c r="BN234" s="1"/>
  <c r="BJ234"/>
  <c r="BK234" s="1"/>
  <c r="BL234" s="1"/>
  <c r="BP234"/>
  <c r="BR234"/>
  <c r="BQ234"/>
  <c r="AZ235"/>
  <c r="BA235"/>
  <c r="BB235"/>
  <c r="BC235"/>
  <c r="AQ236"/>
  <c r="AY236"/>
  <c r="BS236" s="1"/>
  <c r="AU236"/>
  <c r="AT236"/>
  <c r="AM238"/>
  <c r="AS237"/>
  <c r="AR237"/>
  <c r="AV236" l="1"/>
  <c r="BF236" s="1"/>
  <c r="BG236" s="1"/>
  <c r="AO237"/>
  <c r="AX236"/>
  <c r="BD236" s="1"/>
  <c r="BE236" s="1"/>
  <c r="AW236"/>
  <c r="BO236"/>
  <c r="BH236"/>
  <c r="BI235"/>
  <c r="BJ235"/>
  <c r="BK235" s="1"/>
  <c r="BL235" s="1"/>
  <c r="BM235"/>
  <c r="BN235" s="1"/>
  <c r="BQ235"/>
  <c r="BR235"/>
  <c r="BP235"/>
  <c r="AZ236"/>
  <c r="BA236"/>
  <c r="AQ237"/>
  <c r="AM239"/>
  <c r="AR238"/>
  <c r="AS238"/>
  <c r="AY237"/>
  <c r="BS237" s="1"/>
  <c r="AU237"/>
  <c r="AT237"/>
  <c r="BB236"/>
  <c r="BC236"/>
  <c r="AV237" l="1"/>
  <c r="BF237" s="1"/>
  <c r="BG237" s="1"/>
  <c r="AX237"/>
  <c r="BD237" s="1"/>
  <c r="BE237" s="1"/>
  <c r="AW237"/>
  <c r="BO237"/>
  <c r="AO238"/>
  <c r="BH237"/>
  <c r="BQ236"/>
  <c r="BR236"/>
  <c r="BP236"/>
  <c r="BJ236"/>
  <c r="BK236" s="1"/>
  <c r="BL236" s="1"/>
  <c r="BI236"/>
  <c r="BM236"/>
  <c r="BN236" s="1"/>
  <c r="AZ237"/>
  <c r="AQ238"/>
  <c r="BA237"/>
  <c r="AM240"/>
  <c r="AS239"/>
  <c r="AR239"/>
  <c r="BB237"/>
  <c r="AY238"/>
  <c r="BS238" s="1"/>
  <c r="AU238"/>
  <c r="AT238"/>
  <c r="BC237"/>
  <c r="BM237" l="1"/>
  <c r="BN237" s="1"/>
  <c r="BJ237"/>
  <c r="BK237" s="1"/>
  <c r="BL237" s="1"/>
  <c r="BI237"/>
  <c r="BQ237"/>
  <c r="BP237"/>
  <c r="BR237"/>
  <c r="AV238"/>
  <c r="BF238" s="1"/>
  <c r="BG238" s="1"/>
  <c r="AO239"/>
  <c r="AX238"/>
  <c r="BD238" s="1"/>
  <c r="BE238" s="1"/>
  <c r="AW238"/>
  <c r="BO238"/>
  <c r="BH238"/>
  <c r="BA238"/>
  <c r="AQ239"/>
  <c r="AZ238"/>
  <c r="AT239"/>
  <c r="AY239"/>
  <c r="BS239" s="1"/>
  <c r="AU239"/>
  <c r="BB238"/>
  <c r="BC238"/>
  <c r="AM241"/>
  <c r="AR240"/>
  <c r="AS240"/>
  <c r="BM238" l="1"/>
  <c r="BN238" s="1"/>
  <c r="BI238"/>
  <c r="BJ238"/>
  <c r="BK238" s="1"/>
  <c r="BL238" s="1"/>
  <c r="AV239"/>
  <c r="BF239" s="1"/>
  <c r="BG239" s="1"/>
  <c r="AO240"/>
  <c r="AW239"/>
  <c r="BO239"/>
  <c r="AX239"/>
  <c r="BD239" s="1"/>
  <c r="BE239" s="1"/>
  <c r="BH239"/>
  <c r="BR238"/>
  <c r="BP238"/>
  <c r="BQ238"/>
  <c r="BA239"/>
  <c r="AZ239"/>
  <c r="BC239"/>
  <c r="BB239"/>
  <c r="AY240"/>
  <c r="BS240" s="1"/>
  <c r="AU240"/>
  <c r="AT240"/>
  <c r="AM242"/>
  <c r="AS241"/>
  <c r="AR241"/>
  <c r="AQ240"/>
  <c r="BQ239" l="1"/>
  <c r="BR239"/>
  <c r="BP239"/>
  <c r="BM239"/>
  <c r="BN239" s="1"/>
  <c r="BJ239"/>
  <c r="BK239" s="1"/>
  <c r="BL239" s="1"/>
  <c r="BI239"/>
  <c r="AV240"/>
  <c r="BF240" s="1"/>
  <c r="BG240" s="1"/>
  <c r="BO240"/>
  <c r="AW240"/>
  <c r="AO241"/>
  <c r="AX240"/>
  <c r="BD240" s="1"/>
  <c r="BE240" s="1"/>
  <c r="BH240"/>
  <c r="AZ240"/>
  <c r="AQ241"/>
  <c r="BA240"/>
  <c r="BC240"/>
  <c r="BB240"/>
  <c r="AM243"/>
  <c r="AS242"/>
  <c r="AR242"/>
  <c r="AY241"/>
  <c r="BS241" s="1"/>
  <c r="AU241"/>
  <c r="AT241"/>
  <c r="AV241" l="1"/>
  <c r="BF241" s="1"/>
  <c r="BG241" s="1"/>
  <c r="AX241"/>
  <c r="BD241" s="1"/>
  <c r="BE241" s="1"/>
  <c r="AO242"/>
  <c r="BO241"/>
  <c r="AW241"/>
  <c r="BH241"/>
  <c r="BM240"/>
  <c r="BN240" s="1"/>
  <c r="BI240"/>
  <c r="BJ240"/>
  <c r="BK240" s="1"/>
  <c r="BL240" s="1"/>
  <c r="BQ240"/>
  <c r="BR240"/>
  <c r="BP240"/>
  <c r="BA241"/>
  <c r="AZ241"/>
  <c r="AM244"/>
  <c r="AS243"/>
  <c r="AR243"/>
  <c r="BB241"/>
  <c r="AQ242"/>
  <c r="AZ242" s="1"/>
  <c r="AY242"/>
  <c r="BS242" s="1"/>
  <c r="AU242"/>
  <c r="AT242"/>
  <c r="BC241"/>
  <c r="AV242" l="1"/>
  <c r="BF242" s="1"/>
  <c r="BG242" s="1"/>
  <c r="AO243"/>
  <c r="BO242"/>
  <c r="AW242"/>
  <c r="AX242"/>
  <c r="BD242" s="1"/>
  <c r="BE242" s="1"/>
  <c r="BH242"/>
  <c r="BM241"/>
  <c r="BN241" s="1"/>
  <c r="BJ241"/>
  <c r="BK241" s="1"/>
  <c r="BL241" s="1"/>
  <c r="BI241"/>
  <c r="BR241"/>
  <c r="BQ241"/>
  <c r="BP241"/>
  <c r="BA242"/>
  <c r="AM245"/>
  <c r="AS244"/>
  <c r="AR244"/>
  <c r="BB242"/>
  <c r="AT243"/>
  <c r="AY243"/>
  <c r="BS243" s="1"/>
  <c r="AU243"/>
  <c r="BC242"/>
  <c r="AQ243"/>
  <c r="BP242" l="1"/>
  <c r="BQ242"/>
  <c r="BR242"/>
  <c r="BM242"/>
  <c r="BN242" s="1"/>
  <c r="BI242"/>
  <c r="BJ242"/>
  <c r="BK242" s="1"/>
  <c r="BL242" s="1"/>
  <c r="AV243"/>
  <c r="BF243" s="1"/>
  <c r="BG243" s="1"/>
  <c r="BO243"/>
  <c r="AX243"/>
  <c r="BD243" s="1"/>
  <c r="BE243" s="1"/>
  <c r="AO244"/>
  <c r="AW243"/>
  <c r="BH243"/>
  <c r="AZ243"/>
  <c r="BA243"/>
  <c r="BB243"/>
  <c r="AY244"/>
  <c r="BS244" s="1"/>
  <c r="AU244"/>
  <c r="AT244"/>
  <c r="BC243"/>
  <c r="AQ244"/>
  <c r="AZ244" s="1"/>
  <c r="AS245"/>
  <c r="AR245"/>
  <c r="BQ243" l="1"/>
  <c r="BP243"/>
  <c r="BR243"/>
  <c r="BI243"/>
  <c r="BM243"/>
  <c r="BN243" s="1"/>
  <c r="BJ243"/>
  <c r="BK243" s="1"/>
  <c r="BL243" s="1"/>
  <c r="AV244"/>
  <c r="BF244" s="1"/>
  <c r="BG244" s="1"/>
  <c r="AO245"/>
  <c r="BO244"/>
  <c r="AW244"/>
  <c r="AX244"/>
  <c r="BD244" s="1"/>
  <c r="BE244" s="1"/>
  <c r="BH244"/>
  <c r="AQ245"/>
  <c r="BA244"/>
  <c r="AY245"/>
  <c r="BC245" s="1"/>
  <c r="AU245"/>
  <c r="AU42" s="1"/>
  <c r="AT245"/>
  <c r="AT42" s="1"/>
  <c r="BC244"/>
  <c r="BB244"/>
  <c r="BM244" l="1"/>
  <c r="BN244" s="1"/>
  <c r="BJ244"/>
  <c r="BK244" s="1"/>
  <c r="BL244" s="1"/>
  <c r="BI244"/>
  <c r="AV245"/>
  <c r="BF245" s="1"/>
  <c r="BG245" s="1"/>
  <c r="BG43" s="1"/>
  <c r="T80" s="1"/>
  <c r="T81" s="1"/>
  <c r="J25" s="1"/>
  <c r="AW245"/>
  <c r="BO245"/>
  <c r="AX245"/>
  <c r="BD245" s="1"/>
  <c r="BE245" s="1"/>
  <c r="BE43" s="1"/>
  <c r="T79" s="1"/>
  <c r="BH245"/>
  <c r="BR244"/>
  <c r="BQ244"/>
  <c r="BP244"/>
  <c r="BO43"/>
  <c r="BA245"/>
  <c r="BA43" s="1"/>
  <c r="C59" s="1"/>
  <c r="AZ245"/>
  <c r="AZ43" s="1"/>
  <c r="B59" s="1"/>
  <c r="BC43"/>
  <c r="C60" s="1"/>
  <c r="AU41"/>
  <c r="J29" s="1"/>
  <c r="I29"/>
  <c r="BS245"/>
  <c r="F78"/>
  <c r="AY43"/>
  <c r="AT41"/>
  <c r="J28" s="1"/>
  <c r="I28"/>
  <c r="BB245"/>
  <c r="BB43" s="1"/>
  <c r="B60" s="1"/>
  <c r="BH43" l="1"/>
  <c r="BJ245"/>
  <c r="BK245" s="1"/>
  <c r="BI245"/>
  <c r="BI43" s="1"/>
  <c r="BM245"/>
  <c r="BR245"/>
  <c r="BR43" s="1"/>
  <c r="BQ245"/>
  <c r="BQ43" s="1"/>
  <c r="D71" s="1"/>
  <c r="BP245"/>
  <c r="BP43" s="1"/>
  <c r="D70" s="1"/>
  <c r="C61"/>
  <c r="D59"/>
  <c r="E59"/>
  <c r="E60"/>
  <c r="D60"/>
  <c r="B61"/>
  <c r="A66"/>
  <c r="BS43"/>
  <c r="BS39"/>
  <c r="BR39"/>
  <c r="D61" l="1"/>
  <c r="D72"/>
  <c r="BK43"/>
  <c r="I51" s="1"/>
  <c r="I52" s="1"/>
  <c r="I55" s="1"/>
  <c r="BL245"/>
  <c r="BL43" s="1"/>
  <c r="BM43"/>
  <c r="BN245"/>
  <c r="BN43" s="1"/>
  <c r="E61"/>
  <c r="E77" s="1"/>
  <c r="BT39"/>
  <c r="C71" l="1"/>
  <c r="D66"/>
  <c r="E66" s="1"/>
  <c r="F66" s="1"/>
  <c r="L55"/>
  <c r="P83" s="1"/>
  <c r="B77"/>
  <c r="C70"/>
  <c r="I57"/>
  <c r="L57"/>
  <c r="P84" s="1"/>
  <c r="C72" l="1"/>
  <c r="G77" s="1"/>
  <c r="I61"/>
  <c r="L66"/>
  <c r="J66" s="1"/>
  <c r="C77"/>
  <c r="J57"/>
  <c r="J55"/>
  <c r="L60"/>
  <c r="I60" s="1"/>
  <c r="P85"/>
  <c r="K61" l="1"/>
  <c r="K62" s="1"/>
  <c r="J61"/>
  <c r="K83"/>
  <c r="L67"/>
  <c r="J67" s="1"/>
  <c r="I67"/>
  <c r="J60"/>
  <c r="P86"/>
  <c r="F70"/>
  <c r="F71" l="1"/>
  <c r="F72" l="1"/>
  <c r="L68" s="1"/>
  <c r="F77" l="1"/>
  <c r="I68"/>
  <c r="J68"/>
  <c r="L71"/>
  <c r="I71" s="1"/>
  <c r="P87"/>
  <c r="P88" s="1"/>
  <c r="M77" l="1"/>
  <c r="I77" s="1"/>
  <c r="M78"/>
  <c r="J71"/>
  <c r="K66"/>
  <c r="I66"/>
  <c r="L77" s="1"/>
  <c r="I76" s="1"/>
  <c r="I72" l="1"/>
  <c r="J72" s="1"/>
  <c r="L78"/>
  <c r="K89"/>
  <c r="K78"/>
  <c r="K72" l="1"/>
  <c r="K73" s="1"/>
  <c r="K86"/>
</calcChain>
</file>

<file path=xl/comments1.xml><?xml version="1.0" encoding="utf-8"?>
<comments xmlns="http://schemas.openxmlformats.org/spreadsheetml/2006/main">
  <authors>
    <author>mrafferty</author>
  </authors>
  <commentList>
    <comment ref="B34" authorId="0">
      <text>
        <r>
          <rPr>
            <b/>
            <sz val="8"/>
            <color indexed="10"/>
            <rFont val="Tahoma"/>
            <family val="2"/>
          </rPr>
          <t>Comment</t>
        </r>
        <r>
          <rPr>
            <b/>
            <sz val="8"/>
            <color indexed="81"/>
            <rFont val="Tahoma"/>
            <family val="2"/>
          </rPr>
          <t xml:space="preserve"> which defines the variable, provides additional direction for data input, or offers helpful hints</t>
        </r>
      </text>
    </comment>
  </commentList>
</comments>
</file>

<file path=xl/comments2.xml><?xml version="1.0" encoding="utf-8"?>
<comments xmlns="http://schemas.openxmlformats.org/spreadsheetml/2006/main">
  <authors>
    <author>mrafferty</author>
  </authors>
  <commentList>
    <comment ref="G6" authorId="0">
      <text>
        <r>
          <rPr>
            <b/>
            <sz val="8"/>
            <color indexed="81"/>
            <rFont val="Tahoma"/>
            <family val="2"/>
          </rPr>
          <t>Wetted area of channel at design discharge</t>
        </r>
      </text>
    </comment>
  </commentList>
</comments>
</file>

<file path=xl/comments3.xml><?xml version="1.0" encoding="utf-8"?>
<comments xmlns="http://schemas.openxmlformats.org/spreadsheetml/2006/main">
  <authors>
    <author>mrafferty</author>
  </authors>
  <commentList>
    <comment ref="R17" authorId="0">
      <text>
        <r>
          <rPr>
            <b/>
            <sz val="8"/>
            <color indexed="81"/>
            <rFont val="Tahoma"/>
            <family val="2"/>
          </rPr>
          <t>Sands and finer soils on banks are assumed to be more compact than stream bed deposits predicted by Wu and Wang's formula</t>
        </r>
      </text>
    </comment>
    <comment ref="R18" authorId="0">
      <text>
        <r>
          <rPr>
            <b/>
            <sz val="8"/>
            <color indexed="81"/>
            <rFont val="Tahoma"/>
            <family val="2"/>
          </rPr>
          <t>Sands and finer soils on banks are assumed to be more compact than stream bed deposits predicted by Wu and Wang's formula</t>
        </r>
      </text>
    </comment>
    <comment ref="R19" authorId="0">
      <text>
        <r>
          <rPr>
            <b/>
            <sz val="8"/>
            <color indexed="81"/>
            <rFont val="Tahoma"/>
            <family val="2"/>
          </rPr>
          <t>Sands and finer soils on banks are assumed to be more compact than stream bed deposits predicted by Wu and Wang's formula</t>
        </r>
      </text>
    </comment>
    <comment ref="R20" authorId="0">
      <text>
        <r>
          <rPr>
            <b/>
            <sz val="8"/>
            <color indexed="81"/>
            <rFont val="Tahoma"/>
            <family val="2"/>
          </rPr>
          <t>Sands and finer soils on banks are assumed to be more compact than stream bed deposits predicted by Wu and Wang's formula</t>
        </r>
      </text>
    </comment>
    <comment ref="R21" authorId="0">
      <text>
        <r>
          <rPr>
            <b/>
            <sz val="8"/>
            <color indexed="81"/>
            <rFont val="Tahoma"/>
            <family val="2"/>
          </rPr>
          <t>Sands and finer soils on banks are assumed to be more compact than stream bed deposits predicted by Wu and Wang's formula</t>
        </r>
      </text>
    </comment>
    <comment ref="R22" authorId="0">
      <text>
        <r>
          <rPr>
            <b/>
            <sz val="8"/>
            <color indexed="81"/>
            <rFont val="Tahoma"/>
            <family val="2"/>
          </rPr>
          <t>Sands and finer soils on banks are assumed to be more compact than stream bed deposits predicted by Wu and Wang's formula</t>
        </r>
      </text>
    </comment>
  </commentList>
</comments>
</file>

<file path=xl/comments4.xml><?xml version="1.0" encoding="utf-8"?>
<comments xmlns="http://schemas.openxmlformats.org/spreadsheetml/2006/main">
  <authors>
    <author>mrafferty</author>
  </authors>
  <commentList>
    <comment ref="G37" authorId="0">
      <text>
        <r>
          <rPr>
            <b/>
            <sz val="8"/>
            <color indexed="10"/>
            <rFont val="Tahoma"/>
            <family val="2"/>
          </rPr>
          <t>Coast Douglas-fir</t>
        </r>
        <r>
          <rPr>
            <b/>
            <sz val="8"/>
            <color indexed="81"/>
            <rFont val="Tahoma"/>
            <family val="2"/>
          </rPr>
          <t xml:space="preserve"> is defined as Douglas-fir growing in the States of Oregon and Washington west of the summit of the Cascade Mountains.</t>
        </r>
      </text>
    </comment>
    <comment ref="G38" authorId="0">
      <text>
        <r>
          <rPr>
            <b/>
            <sz val="8"/>
            <color indexed="10"/>
            <rFont val="Tahoma"/>
            <family val="2"/>
          </rPr>
          <t>Interior west Douglas fir</t>
        </r>
        <r>
          <rPr>
            <b/>
            <sz val="8"/>
            <color indexed="81"/>
            <rFont val="Tahoma"/>
            <family val="2"/>
          </rPr>
          <t xml:space="preserve"> includes the State of California and all counties in Oregon and Washington east of the Cascade summit.</t>
        </r>
      </text>
    </comment>
    <comment ref="G72" authorId="0">
      <text>
        <r>
          <rPr>
            <b/>
            <sz val="8"/>
            <color indexed="10"/>
            <rFont val="Tahoma"/>
            <family val="2"/>
          </rPr>
          <t>Interior north Douglas fir</t>
        </r>
        <r>
          <rPr>
            <b/>
            <sz val="8"/>
            <color indexed="81"/>
            <rFont val="Tahoma"/>
            <family val="2"/>
          </rPr>
          <t xml:space="preserve"> includes the States of Idaho, Montana, and Wyoming.</t>
        </r>
      </text>
    </comment>
    <comment ref="G73" authorId="0">
      <text>
        <r>
          <rPr>
            <b/>
            <sz val="8"/>
            <color indexed="10"/>
            <rFont val="Tahoma"/>
            <family val="2"/>
          </rPr>
          <t>Interior south Douglas fir</t>
        </r>
        <r>
          <rPr>
            <b/>
            <sz val="8"/>
            <color indexed="81"/>
            <rFont val="Tahoma"/>
            <family val="2"/>
          </rPr>
          <t xml:space="preserve"> includes Utah, Colorado, Arizona, and New Mexico.</t>
        </r>
      </text>
    </comment>
  </commentList>
</comments>
</file>

<file path=xl/comments5.xml><?xml version="1.0" encoding="utf-8"?>
<comments xmlns="http://schemas.openxmlformats.org/spreadsheetml/2006/main">
  <authors>
    <author>mrafferty</author>
  </authors>
  <commentList>
    <comment ref="B5" authorId="0">
      <text>
        <r>
          <rPr>
            <b/>
            <sz val="8"/>
            <color indexed="81"/>
            <rFont val="Tahoma"/>
            <family val="2"/>
          </rPr>
          <t>Informational only, not used in calculations</t>
        </r>
      </text>
    </comment>
    <comment ref="D5" authorId="0">
      <text>
        <r>
          <rPr>
            <b/>
            <sz val="8"/>
            <color indexed="81"/>
            <rFont val="Tahoma"/>
            <family val="2"/>
          </rPr>
          <t>Informational only, not used in calculations</t>
        </r>
      </text>
    </comment>
    <comment ref="F5" authorId="0">
      <text>
        <r>
          <rPr>
            <b/>
            <sz val="8"/>
            <color indexed="81"/>
            <rFont val="Tahoma"/>
            <family val="2"/>
          </rPr>
          <t>Is structure located on a reach with R</t>
        </r>
        <r>
          <rPr>
            <b/>
            <sz val="6"/>
            <color indexed="81"/>
            <rFont val="Tahoma"/>
            <family val="2"/>
          </rPr>
          <t>c</t>
        </r>
        <r>
          <rPr>
            <b/>
            <sz val="8"/>
            <color indexed="81"/>
            <rFont val="Tahoma"/>
            <family val="2"/>
          </rPr>
          <t>/W</t>
        </r>
        <r>
          <rPr>
            <b/>
            <sz val="6"/>
            <color indexed="81"/>
            <rFont val="Tahoma"/>
            <family val="2"/>
          </rPr>
          <t>BF</t>
        </r>
        <r>
          <rPr>
            <b/>
            <sz val="8"/>
            <color indexed="81"/>
            <rFont val="Tahoma"/>
            <family val="2"/>
          </rPr>
          <t xml:space="preserve"> &lt; 26?  If yes, is the structure on the outside or inside bend of the meander?  If no, choose "Straight".</t>
        </r>
      </text>
    </comment>
    <comment ref="H5" authorId="0">
      <text>
        <r>
          <rPr>
            <b/>
            <sz val="8"/>
            <color indexed="81"/>
            <rFont val="Tahoma"/>
            <family val="2"/>
          </rPr>
          <t>Maximum flow depth at design discharge in reach</t>
        </r>
      </text>
    </comment>
    <comment ref="I5" authorId="0">
      <text>
        <r>
          <rPr>
            <b/>
            <sz val="8"/>
            <color indexed="81"/>
            <rFont val="Tahoma"/>
            <family val="2"/>
          </rPr>
          <t>Ratio of radius of curvature to bankfull width</t>
        </r>
      </text>
    </comment>
    <comment ref="J5" authorId="0">
      <text>
        <r>
          <rPr>
            <b/>
            <sz val="8"/>
            <color indexed="81"/>
            <rFont val="Tahoma"/>
            <family val="2"/>
          </rPr>
          <t>Design velocity =
u</t>
        </r>
        <r>
          <rPr>
            <b/>
            <sz val="6"/>
            <color indexed="81"/>
            <rFont val="Tahoma"/>
            <family val="2"/>
          </rPr>
          <t>m</t>
        </r>
        <r>
          <rPr>
            <b/>
            <sz val="8"/>
            <color indexed="81"/>
            <rFont val="Tahoma"/>
            <family val="2"/>
          </rPr>
          <t xml:space="preserve"> if on outside of bend;
u</t>
        </r>
        <r>
          <rPr>
            <b/>
            <sz val="6"/>
            <color indexed="81"/>
            <rFont val="Tahoma"/>
            <family val="2"/>
          </rPr>
          <t>avg</t>
        </r>
        <r>
          <rPr>
            <b/>
            <sz val="8"/>
            <color indexed="81"/>
            <rFont val="Tahoma"/>
            <family val="2"/>
          </rPr>
          <t xml:space="preserve"> if on inside of bend or straight reach</t>
        </r>
      </text>
    </comment>
    <comment ref="B8" authorId="0">
      <text>
        <r>
          <rPr>
            <b/>
            <sz val="8"/>
            <color indexed="81"/>
            <rFont val="Tahoma"/>
            <family val="2"/>
          </rPr>
          <t>Select layer of log in structure.  If log is not part of a multiple log structure, choose "N/A"</t>
        </r>
      </text>
    </comment>
    <comment ref="C8" authorId="0">
      <text>
        <r>
          <rPr>
            <b/>
            <sz val="8"/>
            <color indexed="81"/>
            <rFont val="Tahoma"/>
            <family val="2"/>
          </rPr>
          <t>Informational only, identify log by a number or letter.
Type "N/A" if not applicable</t>
        </r>
      </text>
    </comment>
    <comment ref="BD9" authorId="0">
      <text>
        <r>
          <rPr>
            <b/>
            <sz val="8"/>
            <color indexed="81"/>
            <rFont val="Tahoma"/>
            <family val="2"/>
          </rPr>
          <t>Distance along log axis from end of rootwad</t>
        </r>
      </text>
    </comment>
    <comment ref="A13" authorId="0">
      <text>
        <r>
          <rPr>
            <b/>
            <sz val="8"/>
            <color indexed="81"/>
            <rFont val="Tahoma"/>
            <family val="2"/>
          </rPr>
          <t>Coordinates of a point on the left floodplain (to establish floodplain slope)</t>
        </r>
      </text>
    </comment>
    <comment ref="B13" authorId="0">
      <text>
        <r>
          <rPr>
            <b/>
            <sz val="8"/>
            <color indexed="81"/>
            <rFont val="Tahoma"/>
            <family val="2"/>
          </rPr>
          <t>often set to "0.0"</t>
        </r>
      </text>
    </comment>
    <comment ref="A14" authorId="0">
      <text>
        <r>
          <rPr>
            <b/>
            <sz val="8"/>
            <color indexed="81"/>
            <rFont val="Tahoma"/>
            <family val="2"/>
          </rPr>
          <t>Coordinates of the top of LB</t>
        </r>
      </text>
    </comment>
    <comment ref="A15" authorId="0">
      <text>
        <r>
          <rPr>
            <b/>
            <sz val="8"/>
            <color indexed="81"/>
            <rFont val="Tahoma"/>
            <family val="2"/>
          </rPr>
          <t>Coordinates of the toe of LB</t>
        </r>
      </text>
    </comment>
    <comment ref="A16" authorId="0">
      <text>
        <r>
          <rPr>
            <b/>
            <sz val="8"/>
            <color indexed="81"/>
            <rFont val="Tahoma"/>
            <family val="2"/>
          </rPr>
          <t>Coordinates of channel thalweg</t>
        </r>
      </text>
    </comment>
    <comment ref="C16" authorId="0">
      <text>
        <r>
          <rPr>
            <b/>
            <sz val="8"/>
            <color indexed="81"/>
            <rFont val="Tahoma"/>
            <family val="2"/>
          </rPr>
          <t>often set to "0.0"</t>
        </r>
      </text>
    </comment>
    <comment ref="A17" authorId="0">
      <text>
        <r>
          <rPr>
            <b/>
            <sz val="8"/>
            <color indexed="81"/>
            <rFont val="Tahoma"/>
            <family val="2"/>
          </rPr>
          <t>Coordinates of the toe of RB</t>
        </r>
      </text>
    </comment>
    <comment ref="A18" authorId="0">
      <text>
        <r>
          <rPr>
            <b/>
            <sz val="8"/>
            <color indexed="81"/>
            <rFont val="Tahoma"/>
            <family val="2"/>
          </rPr>
          <t>Coordinates of the top of RB</t>
        </r>
      </text>
    </comment>
    <comment ref="A19" authorId="0">
      <text>
        <r>
          <rPr>
            <b/>
            <sz val="8"/>
            <color indexed="81"/>
            <rFont val="Tahoma"/>
            <family val="2"/>
          </rPr>
          <t>Coordinates of a point on the right floodplain (to establish floodplain slope)</t>
        </r>
      </text>
    </comment>
    <comment ref="D21" authorId="0">
      <text>
        <r>
          <rPr>
            <b/>
            <sz val="8"/>
            <color indexed="81"/>
            <rFont val="Tahoma"/>
            <family val="2"/>
          </rPr>
          <t>Is rootwad attached to tree stem?</t>
        </r>
      </text>
    </comment>
    <comment ref="E21" authorId="0">
      <text>
        <r>
          <rPr>
            <b/>
            <sz val="8"/>
            <color indexed="81"/>
            <rFont val="Tahoma"/>
            <family val="2"/>
          </rPr>
          <t>Total length of tree (including rootwad)</t>
        </r>
      </text>
    </comment>
    <comment ref="F21" authorId="0">
      <text>
        <r>
          <rPr>
            <b/>
            <sz val="8"/>
            <color indexed="81"/>
            <rFont val="Tahoma"/>
            <family val="2"/>
          </rPr>
          <t>Nominal diameter of tree (DBH)</t>
        </r>
      </text>
    </comment>
    <comment ref="G21" authorId="0">
      <text>
        <r>
          <rPr>
            <b/>
            <sz val="8"/>
            <color indexed="81"/>
            <rFont val="Tahoma"/>
            <family val="2"/>
          </rPr>
          <t>Assumed length of rootwad = (D</t>
        </r>
        <r>
          <rPr>
            <b/>
            <sz val="6"/>
            <color indexed="81"/>
            <rFont val="Tahoma"/>
            <family val="2"/>
          </rPr>
          <t>TS</t>
        </r>
        <r>
          <rPr>
            <b/>
            <sz val="8"/>
            <color indexed="81"/>
            <rFont val="Tahoma"/>
            <family val="2"/>
          </rPr>
          <t>*LF</t>
        </r>
        <r>
          <rPr>
            <b/>
            <sz val="6"/>
            <color indexed="81"/>
            <rFont val="Tahoma"/>
            <family val="2"/>
          </rPr>
          <t>RW</t>
        </r>
        <r>
          <rPr>
            <b/>
            <sz val="8"/>
            <color indexed="81"/>
            <rFont val="Tahoma"/>
            <family val="2"/>
          </rPr>
          <t>)
Note - Adjust length factor, LF</t>
        </r>
        <r>
          <rPr>
            <b/>
            <sz val="6"/>
            <color indexed="81"/>
            <rFont val="Tahoma"/>
            <family val="2"/>
          </rPr>
          <t>RW</t>
        </r>
        <r>
          <rPr>
            <b/>
            <sz val="8"/>
            <color indexed="81"/>
            <rFont val="Tahoma"/>
            <family val="2"/>
          </rPr>
          <t>, on "Constants" tab</t>
        </r>
      </text>
    </comment>
    <comment ref="H21" authorId="0">
      <text>
        <r>
          <rPr>
            <b/>
            <sz val="8"/>
            <color indexed="81"/>
            <rFont val="Tahoma"/>
            <family val="2"/>
          </rPr>
          <t>Assumed diameter of rootwad = (D</t>
        </r>
        <r>
          <rPr>
            <b/>
            <sz val="6"/>
            <color indexed="81"/>
            <rFont val="Tahoma"/>
            <family val="2"/>
          </rPr>
          <t>TS</t>
        </r>
        <r>
          <rPr>
            <b/>
            <sz val="8"/>
            <color indexed="81"/>
            <rFont val="Tahoma"/>
            <family val="2"/>
          </rPr>
          <t>*DF</t>
        </r>
        <r>
          <rPr>
            <b/>
            <sz val="6"/>
            <color indexed="81"/>
            <rFont val="Tahoma"/>
            <family val="2"/>
          </rPr>
          <t>RW</t>
        </r>
        <r>
          <rPr>
            <b/>
            <sz val="8"/>
            <color indexed="81"/>
            <rFont val="Tahoma"/>
            <family val="2"/>
          </rPr>
          <t>)
Note - Adjust diameter factor, DF</t>
        </r>
        <r>
          <rPr>
            <b/>
            <sz val="6"/>
            <color indexed="81"/>
            <rFont val="Tahoma"/>
            <family val="2"/>
          </rPr>
          <t>RW</t>
        </r>
        <r>
          <rPr>
            <b/>
            <sz val="8"/>
            <color indexed="81"/>
            <rFont val="Tahoma"/>
            <family val="2"/>
          </rPr>
          <t>, on "Constants" tab</t>
        </r>
      </text>
    </comment>
    <comment ref="I21" authorId="0">
      <text>
        <r>
          <rPr>
            <b/>
            <sz val="8"/>
            <color indexed="81"/>
            <rFont val="Tahoma"/>
            <family val="2"/>
          </rPr>
          <t>Air-dried unit weight of tree (12% MC basis)</t>
        </r>
      </text>
    </comment>
    <comment ref="J21" authorId="0">
      <text>
        <r>
          <rPr>
            <b/>
            <sz val="8"/>
            <color indexed="81"/>
            <rFont val="Tahoma"/>
            <family val="2"/>
          </rPr>
          <t>Green unit weight of tree</t>
        </r>
      </text>
    </comment>
    <comment ref="B24" authorId="0">
      <text>
        <r>
          <rPr>
            <b/>
            <sz val="8"/>
            <color indexed="81"/>
            <rFont val="Tahoma"/>
            <family val="2"/>
          </rPr>
          <t>Rootwad (or large end of log) orientation to channel (see figure below):
0 (360) deg = Rootwad is pointed upstream, parallel with channel
90 deg = Rootwad is pointed towards right bank, perpendicular to channel
180 deg = Rootwad is pointed downstream, parallel with channel
270 deg = Rootwad is pointed towards left bank, perpendicular to channel</t>
        </r>
      </text>
    </comment>
    <comment ref="C24" authorId="0">
      <text>
        <r>
          <rPr>
            <b/>
            <sz val="8"/>
            <color indexed="81"/>
            <rFont val="Tahoma"/>
            <family val="2"/>
          </rPr>
          <t>Angle (tilt) from log to vertical:
0 deg = stem laying flat, parallel to stream bed
(+) deg = stem tilted up from stream bed; rootwad tilted down (89.9 deg max)
(-) deg = stem tilted down towards stream bed;
rootwad tilted up (-89.9 deg max)</t>
        </r>
      </text>
    </comment>
    <comment ref="D24" authorId="0">
      <text>
        <r>
          <rPr>
            <b/>
            <sz val="8"/>
            <color indexed="81"/>
            <rFont val="Tahoma"/>
            <family val="2"/>
          </rPr>
          <t>Define a preferred starting point for geometry calculations. The geometry will rotate about the assigned fixed point.  Notes: 
-"</t>
        </r>
        <r>
          <rPr>
            <b/>
            <sz val="8"/>
            <color indexed="10"/>
            <rFont val="Tahoma"/>
            <family val="2"/>
          </rPr>
          <t>Root Collar</t>
        </r>
        <r>
          <rPr>
            <b/>
            <sz val="8"/>
            <color indexed="81"/>
            <rFont val="Tahoma"/>
            <family val="2"/>
          </rPr>
          <t>" refers to where the main stem joins the roots (larger diameter end of log)
-"</t>
        </r>
        <r>
          <rPr>
            <b/>
            <sz val="8"/>
            <color indexed="10"/>
            <rFont val="Tahoma"/>
            <family val="2"/>
          </rPr>
          <t>Stem tip</t>
        </r>
        <r>
          <rPr>
            <b/>
            <sz val="8"/>
            <color indexed="81"/>
            <rFont val="Tahoma"/>
            <family val="2"/>
          </rPr>
          <t>" refers to the sawn end of the log (smaller diameter)
-"</t>
        </r>
        <r>
          <rPr>
            <b/>
            <sz val="8"/>
            <color indexed="10"/>
            <rFont val="Tahoma"/>
            <family val="2"/>
          </rPr>
          <t>Crown</t>
        </r>
        <r>
          <rPr>
            <b/>
            <sz val="8"/>
            <color indexed="81"/>
            <rFont val="Tahoma"/>
            <family val="2"/>
          </rPr>
          <t>" is the top elevation at a given point on the log</t>
        </r>
      </text>
    </comment>
    <comment ref="F24" authorId="0">
      <text>
        <r>
          <rPr>
            <b/>
            <sz val="8"/>
            <color indexed="81"/>
            <rFont val="Tahoma"/>
            <family val="2"/>
          </rPr>
          <t>X-coordinate of defined starting point for log geometry</t>
        </r>
      </text>
    </comment>
    <comment ref="G24" authorId="0">
      <text>
        <r>
          <rPr>
            <b/>
            <sz val="8"/>
            <color indexed="81"/>
            <rFont val="Tahoma"/>
            <family val="2"/>
          </rPr>
          <t>Elevation of defined starting point for log geometry</t>
        </r>
      </text>
    </comment>
    <comment ref="H24" authorId="0">
      <text>
        <r>
          <rPr>
            <b/>
            <sz val="8"/>
            <color indexed="81"/>
            <rFont val="Tahoma"/>
            <family val="2"/>
          </rPr>
          <t>Minimum elevation of log</t>
        </r>
      </text>
    </comment>
    <comment ref="I24" authorId="0">
      <text>
        <r>
          <rPr>
            <b/>
            <sz val="8"/>
            <color indexed="81"/>
            <rFont val="Tahoma"/>
            <family val="2"/>
          </rPr>
          <t>Maximum elevation of log</t>
        </r>
      </text>
    </comment>
    <comment ref="J24" authorId="0">
      <text>
        <r>
          <rPr>
            <b/>
            <sz val="8"/>
            <color indexed="81"/>
            <rFont val="Tahoma"/>
            <family val="2"/>
          </rPr>
          <t>Projected area of large wood in the plane perpendicular to flow</t>
        </r>
      </text>
    </comment>
    <comment ref="D27" authorId="0">
      <text>
        <r>
          <rPr>
            <b/>
            <sz val="8"/>
            <color indexed="81"/>
            <rFont val="Tahoma"/>
            <family val="2"/>
          </rPr>
          <t>Dry specific weight of soils</t>
        </r>
      </text>
    </comment>
    <comment ref="E27" authorId="0">
      <text>
        <r>
          <rPr>
            <b/>
            <sz val="8"/>
            <color indexed="81"/>
            <rFont val="Tahoma"/>
            <family val="2"/>
          </rPr>
          <t>Buoyant specific weight of soils</t>
        </r>
      </text>
    </comment>
    <comment ref="F27" authorId="0">
      <text>
        <r>
          <rPr>
            <b/>
            <sz val="8"/>
            <color indexed="81"/>
            <rFont val="Tahoma"/>
            <family val="2"/>
          </rPr>
          <t>Internal friction angle of soils</t>
        </r>
      </text>
    </comment>
    <comment ref="G27" authorId="0">
      <text>
        <r>
          <rPr>
            <b/>
            <sz val="8"/>
            <color indexed="81"/>
            <rFont val="Tahoma"/>
            <family val="2"/>
          </rPr>
          <t>Soil classification from NRCS Table TS14E–2</t>
        </r>
      </text>
    </comment>
    <comment ref="H27" authorId="0">
      <text>
        <r>
          <rPr>
            <b/>
            <sz val="8"/>
            <color indexed="81"/>
            <rFont val="Tahoma"/>
            <family val="2"/>
          </rPr>
          <t>Embedded length of log</t>
        </r>
      </text>
    </comment>
    <comment ref="I27" authorId="0">
      <text>
        <r>
          <rPr>
            <b/>
            <sz val="8"/>
            <color indexed="81"/>
            <rFont val="Tahoma"/>
            <family val="2"/>
          </rPr>
          <t>Maximum depth of soils over log (crown to grade)</t>
        </r>
      </text>
    </comment>
    <comment ref="J27" authorId="0">
      <text>
        <r>
          <rPr>
            <b/>
            <sz val="8"/>
            <color indexed="81"/>
            <rFont val="Tahoma"/>
            <family val="2"/>
          </rPr>
          <t>Average depth of soils over log (crown to grade)</t>
        </r>
      </text>
    </comment>
    <comment ref="V31" authorId="0">
      <text>
        <r>
          <rPr>
            <b/>
            <sz val="8"/>
            <color indexed="81"/>
            <rFont val="Tahoma"/>
            <family val="2"/>
          </rPr>
          <t>Distance of log from bank (measured along log axis)</t>
        </r>
      </text>
    </comment>
    <comment ref="AA38" authorId="0">
      <text>
        <r>
          <rPr>
            <b/>
            <sz val="8"/>
            <color indexed="81"/>
            <rFont val="Tahoma"/>
            <family val="2"/>
          </rPr>
          <t>Log stem slope at plane of the cross-section</t>
        </r>
      </text>
    </comment>
    <comment ref="AB38" authorId="0">
      <text>
        <r>
          <rPr>
            <b/>
            <sz val="8"/>
            <color indexed="81"/>
            <rFont val="Tahoma"/>
            <family val="2"/>
          </rPr>
          <t>Log face slope at plane of the cross-section</t>
        </r>
      </text>
    </comment>
    <comment ref="AJ44" authorId="0">
      <text>
        <r>
          <rPr>
            <b/>
            <sz val="8"/>
            <color indexed="81"/>
            <rFont val="Tahoma"/>
            <family val="2"/>
          </rPr>
          <t>Distance on log axis from left to right</t>
        </r>
      </text>
    </comment>
    <comment ref="BI44" authorId="0">
      <text>
        <r>
          <rPr>
            <b/>
            <sz val="8"/>
            <color indexed="81"/>
            <rFont val="Tahoma"/>
            <family val="2"/>
          </rPr>
          <t>Centroid of drag force</t>
        </r>
      </text>
    </comment>
    <comment ref="BL44" authorId="0">
      <text>
        <r>
          <rPr>
            <b/>
            <sz val="8"/>
            <color indexed="81"/>
            <rFont val="Tahoma"/>
            <family val="2"/>
          </rPr>
          <t>Centroid of lift force</t>
        </r>
      </text>
    </comment>
    <comment ref="BO44" authorId="0">
      <text>
        <r>
          <rPr>
            <b/>
            <sz val="8"/>
            <color indexed="81"/>
            <rFont val="Tahoma"/>
            <family val="2"/>
          </rPr>
          <t>Length of log in contact with bed</t>
        </r>
      </text>
    </comment>
    <comment ref="X45" authorId="0">
      <text>
        <r>
          <rPr>
            <b/>
            <sz val="8"/>
            <color indexed="81"/>
            <rFont val="Tahoma"/>
            <family val="2"/>
          </rPr>
          <t>Distance from log to intercept with soil (measured along the log axis from the end of the log closest to the thalweg)</t>
        </r>
      </text>
    </comment>
    <comment ref="T46" authorId="0">
      <text>
        <r>
          <rPr>
            <b/>
            <sz val="8"/>
            <color indexed="81"/>
            <rFont val="Tahoma"/>
            <family val="2"/>
          </rPr>
          <t>Max length of cross-section zone (measured along log axis)</t>
        </r>
      </text>
    </comment>
    <comment ref="B51" authorId="0">
      <text>
        <r>
          <rPr>
            <b/>
            <sz val="8"/>
            <color indexed="81"/>
            <rFont val="Tahoma"/>
            <family val="2"/>
          </rPr>
          <t>Volume of tree stem</t>
        </r>
      </text>
    </comment>
    <comment ref="C51" authorId="0">
      <text>
        <r>
          <rPr>
            <b/>
            <sz val="8"/>
            <color indexed="81"/>
            <rFont val="Tahoma"/>
            <family val="2"/>
          </rPr>
          <t>Volume of rootwad</t>
        </r>
      </text>
    </comment>
    <comment ref="D51" authorId="0">
      <text>
        <r>
          <rPr>
            <b/>
            <sz val="8"/>
            <color indexed="81"/>
            <rFont val="Tahoma"/>
            <family val="2"/>
          </rPr>
          <t>Total log volume</t>
        </r>
      </text>
    </comment>
    <comment ref="E51" authorId="0">
      <text>
        <r>
          <rPr>
            <b/>
            <sz val="8"/>
            <color indexed="81"/>
            <rFont val="Tahoma"/>
            <family val="2"/>
          </rPr>
          <t>Total log weight</t>
        </r>
      </text>
    </comment>
    <comment ref="F51" authorId="0">
      <text>
        <r>
          <rPr>
            <b/>
            <sz val="8"/>
            <color indexed="81"/>
            <rFont val="Tahoma"/>
            <family val="2"/>
          </rPr>
          <t>Net Buoyant force applied to log</t>
        </r>
      </text>
    </comment>
    <comment ref="H51" authorId="0">
      <text>
        <r>
          <rPr>
            <b/>
            <sz val="8"/>
            <color indexed="81"/>
            <rFont val="Tahoma"/>
            <family val="2"/>
          </rPr>
          <t>Effective Lift Coefficient (Interpolated):
C</t>
        </r>
        <r>
          <rPr>
            <b/>
            <sz val="5"/>
            <color indexed="81"/>
            <rFont val="Tahoma"/>
            <family val="2"/>
          </rPr>
          <t>L</t>
        </r>
        <r>
          <rPr>
            <b/>
            <sz val="8"/>
            <color indexed="81"/>
            <rFont val="Tahoma"/>
            <family val="2"/>
          </rPr>
          <t xml:space="preserve"> = 0.45 for length of log completely exposed to flow with the bottom surface in contact with the bed
C</t>
        </r>
        <r>
          <rPr>
            <b/>
            <sz val="5"/>
            <color indexed="81"/>
            <rFont val="Tahoma"/>
            <family val="2"/>
          </rPr>
          <t>L</t>
        </r>
        <r>
          <rPr>
            <b/>
            <sz val="8"/>
            <color indexed="81"/>
            <rFont val="Tahoma"/>
            <family val="2"/>
          </rPr>
          <t xml:space="preserve"> = 0 for length of log with the bottom surface 0.5 ft (or greater) above the bed
C</t>
        </r>
        <r>
          <rPr>
            <b/>
            <sz val="5"/>
            <color indexed="81"/>
            <rFont val="Tahoma"/>
            <family val="2"/>
          </rPr>
          <t>L</t>
        </r>
        <r>
          <rPr>
            <b/>
            <sz val="8"/>
            <color indexed="81"/>
            <rFont val="Tahoma"/>
            <family val="2"/>
          </rPr>
          <t xml:space="preserve"> = 0 for length of log partially embedded</t>
        </r>
      </text>
    </comment>
    <comment ref="A52" authorId="0">
      <text>
        <r>
          <rPr>
            <b/>
            <sz val="8"/>
            <color indexed="81"/>
            <rFont val="Tahoma"/>
            <family val="2"/>
          </rPr>
          <t>Portion of log above water surface elevation</t>
        </r>
      </text>
    </comment>
    <comment ref="H52" authorId="0">
      <text>
        <r>
          <rPr>
            <b/>
            <sz val="8"/>
            <color indexed="81"/>
            <rFont val="Tahoma"/>
            <family val="2"/>
          </rPr>
          <t>Lift force applied to log</t>
        </r>
      </text>
    </comment>
    <comment ref="A53" authorId="0">
      <text>
        <r>
          <rPr>
            <b/>
            <sz val="8"/>
            <color indexed="81"/>
            <rFont val="Tahoma"/>
            <family val="2"/>
          </rPr>
          <t>Portion of log below between water surface elevation and thalweg</t>
        </r>
      </text>
    </comment>
    <comment ref="A54" authorId="0">
      <text>
        <r>
          <rPr>
            <b/>
            <sz val="8"/>
            <color indexed="81"/>
            <rFont val="Tahoma"/>
            <family val="2"/>
          </rPr>
          <t>Portion of log below channel thalweg</t>
        </r>
      </text>
    </comment>
    <comment ref="H54" authorId="0">
      <text>
        <r>
          <rPr>
            <b/>
            <sz val="8"/>
            <color indexed="81"/>
            <rFont val="Tahoma"/>
            <family val="2"/>
          </rPr>
          <t>Buoyant force applied to log</t>
        </r>
      </text>
    </comment>
    <comment ref="H55" authorId="0">
      <text>
        <r>
          <rPr>
            <b/>
            <sz val="8"/>
            <color indexed="81"/>
            <rFont val="Tahoma"/>
            <family val="2"/>
          </rPr>
          <t>Lift force applied to log</t>
        </r>
      </text>
    </comment>
    <comment ref="H56" authorId="0">
      <text>
        <r>
          <rPr>
            <b/>
            <sz val="8"/>
            <color indexed="81"/>
            <rFont val="Tahoma"/>
            <family val="2"/>
          </rPr>
          <t>Total log weight</t>
        </r>
      </text>
    </comment>
    <comment ref="N56" authorId="0">
      <text>
        <r>
          <rPr>
            <b/>
            <sz val="8"/>
            <color indexed="81"/>
            <rFont val="Tahoma"/>
            <family val="2"/>
          </rPr>
          <t>Adjusted bole orientation to flow:
0 deg = log is parallel to flow
90 deg = log is perpendicular to flow
(it does not matter if larger diameter end is pointed upstream or downstream)</t>
        </r>
      </text>
    </comment>
    <comment ref="H57" authorId="0">
      <text>
        <r>
          <rPr>
            <b/>
            <sz val="8"/>
            <color indexed="81"/>
            <rFont val="Tahoma"/>
            <family val="2"/>
          </rPr>
          <t>Vertical soil loading on log</t>
        </r>
      </text>
    </comment>
    <comment ref="V57" authorId="0">
      <text>
        <r>
          <rPr>
            <b/>
            <sz val="8"/>
            <color indexed="81"/>
            <rFont val="Tahoma"/>
            <family val="2"/>
          </rPr>
          <t>Distance of log from bank (measured along log axis)</t>
        </r>
      </text>
    </comment>
    <comment ref="B58" authorId="0">
      <text>
        <r>
          <rPr>
            <b/>
            <sz val="8"/>
            <color indexed="81"/>
            <rFont val="Tahoma"/>
            <family val="2"/>
          </rPr>
          <t>Volume of soils above stage level of design flow</t>
        </r>
      </text>
    </comment>
    <comment ref="C58" authorId="0">
      <text>
        <r>
          <rPr>
            <b/>
            <sz val="8"/>
            <color indexed="81"/>
            <rFont val="Tahoma"/>
            <family val="2"/>
          </rPr>
          <t>Volume of soils below stage level of design flow</t>
        </r>
      </text>
    </comment>
    <comment ref="D58" authorId="0">
      <text>
        <r>
          <rPr>
            <b/>
            <sz val="8"/>
            <color indexed="81"/>
            <rFont val="Tahoma"/>
            <family val="2"/>
          </rPr>
          <t>Total volume of soils over log</t>
        </r>
      </text>
    </comment>
    <comment ref="E58" authorId="0">
      <text>
        <r>
          <rPr>
            <b/>
            <sz val="8"/>
            <color indexed="81"/>
            <rFont val="Tahoma"/>
            <family val="2"/>
          </rPr>
          <t>Vertical soil loading on log</t>
        </r>
      </text>
    </comment>
    <comment ref="H58" authorId="0">
      <text>
        <r>
          <rPr>
            <b/>
            <sz val="8"/>
            <color indexed="81"/>
            <rFont val="Tahoma"/>
            <family val="2"/>
          </rPr>
          <t>Vertical forces from interactions with other logs (multi-log structures only)</t>
        </r>
      </text>
    </comment>
    <comment ref="H59" authorId="0">
      <text>
        <r>
          <rPr>
            <b/>
            <sz val="8"/>
            <color indexed="81"/>
            <rFont val="Tahoma"/>
            <family val="2"/>
          </rPr>
          <t>Vertical load capacity of anchors (including added ballast weight)</t>
        </r>
      </text>
    </comment>
    <comment ref="H60" authorId="0">
      <text>
        <r>
          <rPr>
            <b/>
            <sz val="8"/>
            <color indexed="81"/>
            <rFont val="Tahoma"/>
            <family val="2"/>
          </rPr>
          <t>Vertical Force Balance = Sum of forces</t>
        </r>
      </text>
    </comment>
    <comment ref="H61" authorId="0">
      <text>
        <r>
          <rPr>
            <b/>
            <sz val="8"/>
            <color indexed="81"/>
            <rFont val="Tahoma"/>
            <family val="2"/>
          </rPr>
          <t>Factor of Safety Check (edit target factor of safety on worksheet "2-Constants")</t>
        </r>
      </text>
    </comment>
    <comment ref="N62" authorId="0">
      <text>
        <r>
          <rPr>
            <b/>
            <sz val="8"/>
            <color indexed="81"/>
            <rFont val="Tahoma"/>
            <family val="2"/>
          </rPr>
          <t>Rootwad (or large end of log) orientation to channel:
0 deg = Rootwad is pointed upstream, parallel with channel
90 deg = Rootwad is perpendicular to channel
180 deg = Rootwad is pointed downstream, parallel with channel</t>
        </r>
      </text>
    </comment>
    <comment ref="A65" authorId="0">
      <text>
        <r>
          <rPr>
            <b/>
            <sz val="8"/>
            <color indexed="81"/>
            <rFont val="Tahoma"/>
            <family val="2"/>
          </rPr>
          <t xml:space="preserve">Blockage ratio:
Projected area of wood in flow/Wetted area in channel at design flow </t>
        </r>
      </text>
    </comment>
    <comment ref="B65" authorId="0">
      <text>
        <r>
          <rPr>
            <b/>
            <sz val="8"/>
            <color indexed="81"/>
            <rFont val="Tahoma"/>
            <family val="2"/>
          </rPr>
          <t>Log Froude Number</t>
        </r>
      </text>
    </comment>
    <comment ref="C65" authorId="0">
      <text>
        <r>
          <rPr>
            <b/>
            <sz val="8"/>
            <color indexed="81"/>
            <rFont val="Tahoma"/>
            <family val="2"/>
          </rPr>
          <t>Base Drag Coefficient, before adjustments</t>
        </r>
      </text>
    </comment>
    <comment ref="D65" authorId="0">
      <text>
        <r>
          <rPr>
            <b/>
            <sz val="8"/>
            <color indexed="81"/>
            <rFont val="Tahoma"/>
            <family val="2"/>
          </rPr>
          <t>Wave drag coefficient using Alonso's revision (2004) of Lamb's formula (1945). Lamb showed C</t>
        </r>
        <r>
          <rPr>
            <b/>
            <sz val="7"/>
            <color indexed="81"/>
            <rFont val="Tahoma"/>
            <family val="2"/>
          </rPr>
          <t>w</t>
        </r>
        <r>
          <rPr>
            <b/>
            <sz val="8"/>
            <color indexed="81"/>
            <rFont val="Tahoma"/>
            <family val="2"/>
          </rPr>
          <t xml:space="preserve"> peaked at log Froude numbers near 0.6, and exponentially decreased at smaller and larger log Froude numbers.  He also showed that the peak values of the wave drag coefficient are near 0.43, so C</t>
        </r>
        <r>
          <rPr>
            <b/>
            <sz val="7"/>
            <color indexed="81"/>
            <rFont val="Tahoma"/>
            <family val="2"/>
          </rPr>
          <t>w</t>
        </r>
        <r>
          <rPr>
            <b/>
            <sz val="8"/>
            <color indexed="81"/>
            <rFont val="Tahoma"/>
            <family val="2"/>
          </rPr>
          <t xml:space="preserve"> for this model is capped at 0.43.</t>
        </r>
      </text>
    </comment>
    <comment ref="E65" authorId="0">
      <text>
        <r>
          <rPr>
            <b/>
            <sz val="8"/>
            <color indexed="81"/>
            <rFont val="Tahoma"/>
            <family val="2"/>
          </rPr>
          <t>Effective Drag Coefficient</t>
        </r>
      </text>
    </comment>
    <comment ref="F65" authorId="0">
      <text>
        <r>
          <rPr>
            <b/>
            <sz val="8"/>
            <color indexed="81"/>
            <rFont val="Tahoma"/>
            <family val="2"/>
          </rPr>
          <t>Drag force applied to log</t>
        </r>
      </text>
    </comment>
    <comment ref="N65" authorId="0">
      <text>
        <r>
          <rPr>
            <b/>
            <sz val="8"/>
            <color indexed="81"/>
            <rFont val="Tahoma"/>
            <family val="2"/>
          </rPr>
          <t>Rootwad (or large end of log) orientation to channel:
0 deg = Rootwad is pointed upstream, parallel with channel
90 deg = Rootwad is perpendicular to channel
180 deg = Rootwad is pointed downstream, parallel with channel</t>
        </r>
      </text>
    </comment>
    <comment ref="X65" authorId="0">
      <text>
        <r>
          <rPr>
            <b/>
            <sz val="8"/>
            <color indexed="81"/>
            <rFont val="Tahoma"/>
            <family val="2"/>
          </rPr>
          <t>Distance from log to intercept with soil (measured along the log axis from the end of the log closest to the thalweg)</t>
        </r>
      </text>
    </comment>
    <comment ref="H66" authorId="0">
      <text>
        <r>
          <rPr>
            <b/>
            <sz val="8"/>
            <color indexed="81"/>
            <rFont val="Tahoma"/>
            <family val="2"/>
          </rPr>
          <t>Drag force applied to log</t>
        </r>
      </text>
    </comment>
    <comment ref="T66" authorId="0">
      <text>
        <r>
          <rPr>
            <b/>
            <sz val="8"/>
            <color indexed="81"/>
            <rFont val="Tahoma"/>
            <family val="2"/>
          </rPr>
          <t>Max length of cross-section zone (measured along log axis)</t>
        </r>
      </text>
    </comment>
    <comment ref="H67" authorId="0">
      <text>
        <r>
          <rPr>
            <b/>
            <sz val="8"/>
            <color indexed="81"/>
            <rFont val="Tahoma"/>
            <family val="2"/>
          </rPr>
          <t>Passive Soil Pressure Force</t>
        </r>
      </text>
    </comment>
    <comment ref="H68" authorId="0">
      <text>
        <r>
          <rPr>
            <b/>
            <sz val="8"/>
            <color indexed="81"/>
            <rFont val="Tahoma"/>
            <family val="2"/>
          </rPr>
          <t>Friction Force</t>
        </r>
      </text>
    </comment>
    <comment ref="B69" authorId="0">
      <text>
        <r>
          <rPr>
            <b/>
            <sz val="8"/>
            <color indexed="81"/>
            <rFont val="Tahoma"/>
            <family val="2"/>
          </rPr>
          <t>Coefficient of Passive Earth Pressure</t>
        </r>
      </text>
    </comment>
    <comment ref="C69" authorId="0">
      <text>
        <r>
          <rPr>
            <b/>
            <sz val="8"/>
            <color indexed="81"/>
            <rFont val="Tahoma"/>
            <family val="2"/>
          </rPr>
          <t>Passive soil pressure force applied to log</t>
        </r>
      </text>
    </comment>
    <comment ref="D69" authorId="0">
      <text>
        <r>
          <rPr>
            <b/>
            <sz val="8"/>
            <color indexed="81"/>
            <rFont val="Tahoma"/>
            <family val="2"/>
          </rPr>
          <t>Length of log in contact with bed or banks</t>
        </r>
      </text>
    </comment>
    <comment ref="E69" authorId="0">
      <text>
        <r>
          <rPr>
            <b/>
            <sz val="8"/>
            <color indexed="81"/>
            <rFont val="Tahoma"/>
            <family val="2"/>
          </rPr>
          <t>Coefficient of friction</t>
        </r>
      </text>
    </comment>
    <comment ref="F69" authorId="0">
      <text>
        <r>
          <rPr>
            <b/>
            <sz val="8"/>
            <color indexed="81"/>
            <rFont val="Tahoma"/>
            <family val="2"/>
          </rPr>
          <t>Friction force between log and soils.
F</t>
        </r>
        <r>
          <rPr>
            <b/>
            <sz val="5"/>
            <color indexed="81"/>
            <rFont val="Tahoma"/>
            <family val="2"/>
          </rPr>
          <t>F</t>
        </r>
        <r>
          <rPr>
            <b/>
            <sz val="8"/>
            <color indexed="81"/>
            <rFont val="Tahoma"/>
            <family val="2"/>
          </rPr>
          <t xml:space="preserve"> = 0 if log is buoyant</t>
        </r>
      </text>
    </comment>
    <comment ref="H69" authorId="0">
      <text>
        <r>
          <rPr>
            <b/>
            <sz val="8"/>
            <color indexed="81"/>
            <rFont val="Tahoma"/>
            <family val="2"/>
          </rPr>
          <t>Horizontal forces from interactions with other logs (multi-log structures only)</t>
        </r>
      </text>
    </comment>
    <comment ref="H70" authorId="0">
      <text>
        <r>
          <rPr>
            <b/>
            <sz val="8"/>
            <color indexed="81"/>
            <rFont val="Tahoma"/>
            <family val="2"/>
          </rPr>
          <t>Horizontal load capacity of anchors (including added ballast weight)</t>
        </r>
      </text>
    </comment>
    <comment ref="H71" authorId="0">
      <text>
        <r>
          <rPr>
            <b/>
            <sz val="8"/>
            <color indexed="81"/>
            <rFont val="Tahoma"/>
            <family val="2"/>
          </rPr>
          <t>Horizontal Force Balance = Sum of forces</t>
        </r>
      </text>
    </comment>
    <comment ref="H72" authorId="0">
      <text>
        <r>
          <rPr>
            <b/>
            <sz val="8"/>
            <color indexed="81"/>
            <rFont val="Tahoma"/>
            <family val="2"/>
          </rPr>
          <t>Factor of Safety Check (edit target factor of safety on worksheet "2-Constants")</t>
        </r>
      </text>
    </comment>
    <comment ref="A76" authorId="0">
      <text>
        <r>
          <rPr>
            <b/>
            <sz val="8"/>
            <color indexed="81"/>
            <rFont val="Tahoma"/>
            <family val="2"/>
          </rPr>
          <t>Distance from stem tip (small diameter end) to the centroid of the buoyancy force along log axis</t>
        </r>
      </text>
    </comment>
    <comment ref="B76" authorId="0">
      <text>
        <r>
          <rPr>
            <b/>
            <sz val="8"/>
            <color indexed="81"/>
            <rFont val="Tahoma"/>
            <family val="2"/>
          </rPr>
          <t>Distance from stem tip (small diameter end) to the centroid of the lift force along log axis</t>
        </r>
      </text>
    </comment>
    <comment ref="C76" authorId="0">
      <text>
        <r>
          <rPr>
            <b/>
            <sz val="8"/>
            <color indexed="81"/>
            <rFont val="Tahoma"/>
            <family val="2"/>
          </rPr>
          <t>Distance from stem tip (small diameter end) to the centroid of the drag force along log axis</t>
        </r>
      </text>
    </comment>
    <comment ref="D76" authorId="0">
      <text>
        <r>
          <rPr>
            <b/>
            <sz val="8"/>
            <color indexed="81"/>
            <rFont val="Tahoma"/>
            <family val="2"/>
          </rPr>
          <t>Distance from stem tip (small diameter end) to the centroid of the log along log axis</t>
        </r>
      </text>
    </comment>
    <comment ref="E76" authorId="0">
      <text>
        <r>
          <rPr>
            <b/>
            <sz val="8"/>
            <color indexed="81"/>
            <rFont val="Tahoma"/>
            <family val="2"/>
          </rPr>
          <t>Distance from stem tip (small diameter end) to the centroid of the vertical soils forces along log axis</t>
        </r>
      </text>
    </comment>
    <comment ref="F76" authorId="0">
      <text>
        <r>
          <rPr>
            <b/>
            <sz val="8"/>
            <color indexed="81"/>
            <rFont val="Tahoma"/>
            <family val="2"/>
          </rPr>
          <t>Distance from stem tip (small diameter end) to the centroid of the friction and normal force along log axis</t>
        </r>
      </text>
    </comment>
    <comment ref="G76" authorId="0">
      <text>
        <r>
          <rPr>
            <b/>
            <sz val="8"/>
            <color indexed="81"/>
            <rFont val="Tahoma"/>
            <family val="2"/>
          </rPr>
          <t>Distance from stem tip (small diameter end) to the centroid of the passive pressure force along log axis.  The resultant passive resistance force acts on the log a distance of 2/3 of the embedded length from the embedded tip.</t>
        </r>
      </text>
    </comment>
    <comment ref="H76" authorId="0">
      <text>
        <r>
          <rPr>
            <b/>
            <sz val="8"/>
            <color indexed="81"/>
            <rFont val="Tahoma"/>
            <family val="2"/>
          </rPr>
          <t>Driving Moment about embedded end of log.  If both ends of the log are embedded or neither is embedded, the moments are taken about the rootwad.</t>
        </r>
      </text>
    </comment>
    <comment ref="H77" authorId="0">
      <text>
        <r>
          <rPr>
            <b/>
            <sz val="8"/>
            <color indexed="81"/>
            <rFont val="Tahoma"/>
            <family val="2"/>
          </rPr>
          <t>Resisting Moment about embedded end of log.  If both ends of the log are embedded or neither is embedded, the moments are taken about the rootwad.</t>
        </r>
      </text>
    </comment>
    <comment ref="P77" authorId="0">
      <text>
        <r>
          <rPr>
            <b/>
            <sz val="8"/>
            <color indexed="81"/>
            <rFont val="Tahoma"/>
            <family val="2"/>
          </rPr>
          <t>Distance on x-axis from stem tip to centroid of rootwad</t>
        </r>
      </text>
    </comment>
    <comment ref="D78" authorId="0">
      <text>
        <r>
          <rPr>
            <b/>
            <sz val="8"/>
            <color indexed="81"/>
            <rFont val="Tahoma"/>
            <family val="2"/>
          </rPr>
          <t>Point of rotation is the embedded end of log.  If both ends of the log are embedded (or neither), the moments are taken about the rootwad.</t>
        </r>
      </text>
    </comment>
    <comment ref="H78" authorId="0">
      <text>
        <r>
          <rPr>
            <b/>
            <sz val="8"/>
            <color indexed="81"/>
            <rFont val="Tahoma"/>
            <family val="2"/>
          </rPr>
          <t>Factor of Safety = Ratio of the Resisting Moments to the Driving Moments
(edit target factor of safety on worksheet "2-Constants")</t>
        </r>
      </text>
    </comment>
    <comment ref="P78" authorId="0">
      <text>
        <r>
          <rPr>
            <b/>
            <sz val="8"/>
            <color indexed="81"/>
            <rFont val="Tahoma"/>
            <family val="2"/>
          </rPr>
          <t>Distance on x-axis from stem tip to centroid of tree stem</t>
        </r>
      </text>
    </comment>
    <comment ref="P79" authorId="0">
      <text>
        <r>
          <rPr>
            <b/>
            <sz val="8"/>
            <color indexed="81"/>
            <rFont val="Tahoma"/>
            <family val="2"/>
          </rPr>
          <t>Distance on x-axis from stem tip to centroid of log</t>
        </r>
      </text>
    </comment>
    <comment ref="A82" authorId="0">
      <text>
        <r>
          <rPr>
            <b/>
            <sz val="8"/>
            <color indexed="81"/>
            <rFont val="Tahoma"/>
            <family val="2"/>
          </rPr>
          <t>Volume of ballast above WSE of design flow.  Only include volume of soil that directly covers the log (Vol= Length*depth*log diameter)</t>
        </r>
      </text>
    </comment>
    <comment ref="B82" authorId="0">
      <text>
        <r>
          <rPr>
            <b/>
            <sz val="8"/>
            <color indexed="81"/>
            <rFont val="Tahoma"/>
            <family val="2"/>
          </rPr>
          <t>Volume of ballast below WSE of design flow.  Only include volume of soil that directly covers the log (Vol= Length*depth*log diameter)</t>
        </r>
      </text>
    </comment>
    <comment ref="C82" authorId="0">
      <text>
        <r>
          <rPr>
            <b/>
            <sz val="8"/>
            <color indexed="81"/>
            <rFont val="Tahoma"/>
            <family val="2"/>
          </rPr>
          <t>Distance from stem tip (small diameter end) to the center of ballast soil along log axis</t>
        </r>
      </text>
    </comment>
    <comment ref="D82" authorId="0">
      <text>
        <r>
          <rPr>
            <b/>
            <sz val="8"/>
            <color indexed="81"/>
            <rFont val="Tahoma"/>
            <family val="2"/>
          </rPr>
          <t>Vertical soil loading on log, assuming bank soils are used</t>
        </r>
      </text>
    </comment>
    <comment ref="E82" authorId="0">
      <text>
        <r>
          <rPr>
            <b/>
            <sz val="8"/>
            <color indexed="81"/>
            <rFont val="Tahoma"/>
            <family val="2"/>
          </rPr>
          <t>Passive soil pressure force applied to log</t>
        </r>
      </text>
    </comment>
    <comment ref="G82" authorId="0">
      <text>
        <r>
          <rPr>
            <b/>
            <sz val="8"/>
            <color indexed="81"/>
            <rFont val="Tahoma"/>
            <family val="2"/>
          </rPr>
          <t>Anchor Type
MR = Manta Ray
SR = Sting Ray
DB = Duckbill
P-S = Platipus Stealth
P-B = Platipus Bat
Custom = User Input, see "Anchors" Worksheet</t>
        </r>
      </text>
    </comment>
    <comment ref="H82" authorId="0">
      <text>
        <r>
          <rPr>
            <b/>
            <sz val="8"/>
            <color indexed="81"/>
            <rFont val="Tahoma"/>
            <family val="2"/>
          </rPr>
          <t>Distance from stem tip (small diameter end) to the mechanical anchor along the log axis</t>
        </r>
      </text>
    </comment>
    <comment ref="I82" authorId="0">
      <text>
        <r>
          <rPr>
            <b/>
            <sz val="8"/>
            <color indexed="81"/>
            <rFont val="Tahoma"/>
            <family val="2"/>
          </rPr>
          <t>Soil type for anchor</t>
        </r>
      </text>
    </comment>
    <comment ref="J82" authorId="0">
      <text>
        <r>
          <rPr>
            <b/>
            <sz val="8"/>
            <color indexed="81"/>
            <rFont val="Tahoma"/>
            <family val="2"/>
          </rPr>
          <t>Capacity of mechanical anchor (equal in horizontal or vertical direction)</t>
        </r>
      </text>
    </comment>
    <comment ref="AC84" authorId="0">
      <text>
        <r>
          <rPr>
            <b/>
            <sz val="8"/>
            <color indexed="81"/>
            <rFont val="Tahoma"/>
            <family val="2"/>
          </rPr>
          <t>Upper face is defined as the face between the high point on the crown and high point on the bottom of the stem</t>
        </r>
      </text>
    </comment>
    <comment ref="AF85" authorId="0">
      <text>
        <r>
          <rPr>
            <b/>
            <sz val="8"/>
            <color indexed="81"/>
            <rFont val="Tahoma"/>
            <family val="2"/>
          </rPr>
          <t>Length of dry portion of upper face of stem</t>
        </r>
      </text>
    </comment>
    <comment ref="A86" authorId="0">
      <text>
        <r>
          <rPr>
            <b/>
            <sz val="8"/>
            <color indexed="81"/>
            <rFont val="Tahoma"/>
            <family val="2"/>
          </rPr>
          <t>Position of boulder with respect to the current design log (Ex: select "Above" if boulder is placed above the current design log).  Note - For a deadman boulder anchor, the model only assumes 1 boulder is attached to the log by a cable</t>
        </r>
      </text>
    </comment>
    <comment ref="B86" authorId="0">
      <text>
        <r>
          <rPr>
            <b/>
            <sz val="8"/>
            <color indexed="81"/>
            <rFont val="Tahoma"/>
            <family val="2"/>
          </rPr>
          <t>Equivalent diameter of boulder(s).</t>
        </r>
      </text>
    </comment>
    <comment ref="C86" authorId="0">
      <text>
        <r>
          <rPr>
            <b/>
            <sz val="8"/>
            <color indexed="81"/>
            <rFont val="Tahoma"/>
            <family val="2"/>
          </rPr>
          <t>Distance from stem tip (small diameter end) to the center of rock along log axis</t>
        </r>
      </text>
    </comment>
    <comment ref="D86" authorId="0">
      <text>
        <r>
          <rPr>
            <b/>
            <sz val="8"/>
            <color indexed="81"/>
            <rFont val="Tahoma"/>
            <family val="2"/>
          </rPr>
          <t>Volume of ballast above WSE of design flow.  Only include volume of soil that directly covers the log (Vol= Length*depth*log diameter)</t>
        </r>
      </text>
    </comment>
    <comment ref="E86" authorId="0">
      <text>
        <r>
          <rPr>
            <b/>
            <sz val="8"/>
            <color indexed="81"/>
            <rFont val="Tahoma"/>
            <family val="2"/>
          </rPr>
          <t>Volume of ballast below WSE of design flow.  Only include volume of soil that directly covers the log (Vol= Length*depth*log diameter)</t>
        </r>
      </text>
    </comment>
    <comment ref="F86" authorId="0">
      <text>
        <r>
          <rPr>
            <b/>
            <sz val="8"/>
            <color indexed="81"/>
            <rFont val="Tahoma"/>
            <family val="2"/>
          </rPr>
          <t>Effective weight of boulder</t>
        </r>
      </text>
    </comment>
    <comment ref="G86" authorId="0">
      <text>
        <r>
          <rPr>
            <b/>
            <sz val="8"/>
            <color indexed="81"/>
            <rFont val="Tahoma"/>
            <family val="2"/>
          </rPr>
          <t>Lift forces on a boulder using projected area in flow.  Note - The lift force for boulders behind logs is divided in half to approximate the hiding factor.</t>
        </r>
      </text>
    </comment>
    <comment ref="H86" authorId="0">
      <text>
        <r>
          <rPr>
            <b/>
            <sz val="8"/>
            <color indexed="81"/>
            <rFont val="Tahoma"/>
            <family val="2"/>
          </rPr>
          <t>Drag forces on a boulder using projected area in flow.  Note - The drag force for boulders behind logs is divided in half to approximate the hiding factor.</t>
        </r>
      </text>
    </comment>
    <comment ref="I86" authorId="0">
      <text>
        <r>
          <rPr>
            <b/>
            <sz val="8"/>
            <color indexed="81"/>
            <rFont val="Tahoma"/>
            <family val="2"/>
          </rPr>
          <t>Vertical force from boulder on log</t>
        </r>
      </text>
    </comment>
    <comment ref="J86" authorId="0">
      <text>
        <r>
          <rPr>
            <b/>
            <sz val="8"/>
            <color indexed="81"/>
            <rFont val="Tahoma"/>
            <family val="2"/>
          </rPr>
          <t>Horizontal resistance of boulder on log (Note - boulders placed above the log will also increase friction resistance against the bed, but this is not calculated in this cell.  Instead, it is automatically calculated in the spreadsheet above after it determines the new normal force)</t>
        </r>
      </text>
    </comment>
    <comment ref="A94" authorId="0">
      <text>
        <r>
          <rPr>
            <b/>
            <sz val="8"/>
            <color indexed="81"/>
            <rFont val="Tahoma"/>
            <family val="2"/>
          </rPr>
          <t>Input "Log ID" as defined on other worksheets</t>
        </r>
      </text>
    </comment>
    <comment ref="B94" authorId="0">
      <text>
        <r>
          <rPr>
            <b/>
            <sz val="8"/>
            <color indexed="81"/>
            <rFont val="Tahoma"/>
            <family val="2"/>
          </rPr>
          <t>Position of other log with respect to the current design log (Ex: select "Above" if other log is above the current design log)</t>
        </r>
      </text>
    </comment>
    <comment ref="C94" authorId="0">
      <text>
        <r>
          <rPr>
            <b/>
            <sz val="8"/>
            <color indexed="81"/>
            <rFont val="Tahoma"/>
            <family val="2"/>
          </rPr>
          <t>Type of connection between logs (Note - "Pinned" includes cables and chains)</t>
        </r>
      </text>
    </comment>
    <comment ref="D94" authorId="0">
      <text>
        <r>
          <rPr>
            <b/>
            <sz val="8"/>
            <color indexed="81"/>
            <rFont val="Tahoma"/>
            <family val="2"/>
          </rPr>
          <t>Distance from stem tip (small diameter end) to the intersection between the two logs along log axis</t>
        </r>
      </text>
    </comment>
    <comment ref="E94" authorId="0">
      <text>
        <r>
          <rPr>
            <b/>
            <sz val="8"/>
            <color indexed="81"/>
            <rFont val="Tahoma"/>
            <family val="2"/>
          </rPr>
          <t>Net resulting vertical force of adjacent log:
(-) is directed down; gravity
(+) is up; buoyancy
Note - User may need to divide the resulting force by the number of other logs also in contact</t>
        </r>
      </text>
    </comment>
    <comment ref="F94" authorId="0">
      <text>
        <r>
          <rPr>
            <b/>
            <sz val="8"/>
            <color indexed="81"/>
            <rFont val="Tahoma"/>
            <family val="2"/>
          </rPr>
          <t>Net resulting horizontal force of adjacent log:
(-) is directed upstream; resisting drag forces
(+) is downstream (drag force)
Note - User may need to divide the resulting force by the number of other logs also in contact</t>
        </r>
      </text>
    </comment>
    <comment ref="G94" authorId="0">
      <text>
        <r>
          <rPr>
            <b/>
            <sz val="8"/>
            <color indexed="81"/>
            <rFont val="Tahoma"/>
            <family val="2"/>
          </rPr>
          <t>Applied vertical force from other log (adjusted according to position and link type)</t>
        </r>
      </text>
    </comment>
    <comment ref="I94" authorId="0">
      <text>
        <r>
          <rPr>
            <b/>
            <sz val="8"/>
            <color indexed="81"/>
            <rFont val="Tahoma"/>
            <family val="2"/>
          </rPr>
          <t>Applied horizontal force from other log (adjusted according to position and link type)</t>
        </r>
      </text>
    </comment>
    <comment ref="P98" authorId="0">
      <text>
        <r>
          <rPr>
            <b/>
            <sz val="8"/>
            <color indexed="81"/>
            <rFont val="Tahoma"/>
            <family val="2"/>
          </rPr>
          <t>Drag forces on a boulder using projected area in flow.  Note - The drag force for boulders behind logs is divided in half to approximate the hiding factor.</t>
        </r>
      </text>
    </comment>
    <comment ref="Q98" authorId="0">
      <text>
        <r>
          <rPr>
            <b/>
            <sz val="8"/>
            <color indexed="81"/>
            <rFont val="Tahoma"/>
            <family val="2"/>
          </rPr>
          <t>Lift forces on a boulder using projected area in flow.  Note - The lift force for boulders behind logs is divided in half to approximate the hiding factor.</t>
        </r>
      </text>
    </comment>
  </commentList>
</comments>
</file>

<file path=xl/comments6.xml><?xml version="1.0" encoding="utf-8"?>
<comments xmlns="http://schemas.openxmlformats.org/spreadsheetml/2006/main">
  <authors>
    <author>mrafferty</author>
  </authors>
  <commentList>
    <comment ref="D6" authorId="0">
      <text>
        <r>
          <rPr>
            <b/>
            <sz val="8"/>
            <color indexed="81"/>
            <rFont val="Tahoma"/>
            <family val="2"/>
          </rPr>
          <t>Notes 2,4</t>
        </r>
      </text>
    </comment>
    <comment ref="E6" authorId="0">
      <text>
        <r>
          <rPr>
            <b/>
            <sz val="8"/>
            <color indexed="81"/>
            <rFont val="Tahoma"/>
            <family val="2"/>
          </rPr>
          <t>Notes 2,4</t>
        </r>
      </text>
    </comment>
    <comment ref="F6" authorId="0">
      <text>
        <r>
          <rPr>
            <b/>
            <sz val="8"/>
            <color indexed="81"/>
            <rFont val="Tahoma"/>
            <family val="2"/>
          </rPr>
          <t>Notes 2,3,4</t>
        </r>
      </text>
    </comment>
    <comment ref="G6" authorId="0">
      <text>
        <r>
          <rPr>
            <b/>
            <sz val="8"/>
            <color indexed="81"/>
            <rFont val="Tahoma"/>
            <family val="2"/>
          </rPr>
          <t>Note 4</t>
        </r>
      </text>
    </comment>
    <comment ref="H6" authorId="0">
      <text>
        <r>
          <rPr>
            <b/>
            <sz val="8"/>
            <color indexed="81"/>
            <rFont val="Tahoma"/>
            <family val="2"/>
          </rPr>
          <t>Notes 2,4</t>
        </r>
      </text>
    </comment>
    <comment ref="I6" authorId="0">
      <text>
        <r>
          <rPr>
            <b/>
            <sz val="8"/>
            <color indexed="81"/>
            <rFont val="Tahoma"/>
            <family val="2"/>
          </rPr>
          <t>Notes 2,3,4</t>
        </r>
      </text>
    </comment>
    <comment ref="N6" authorId="0">
      <text>
        <r>
          <rPr>
            <b/>
            <sz val="8"/>
            <color indexed="81"/>
            <rFont val="Tahoma"/>
            <family val="2"/>
          </rPr>
          <t>Note 7,
minimum depth of installation = 1.65 ft</t>
        </r>
      </text>
    </comment>
    <comment ref="O6" authorId="0">
      <text>
        <r>
          <rPr>
            <b/>
            <sz val="8"/>
            <color indexed="81"/>
            <rFont val="Tahoma"/>
            <family val="2"/>
          </rPr>
          <t>Note 7,
minimum depth of installation = 2.5 ft</t>
        </r>
      </text>
    </comment>
    <comment ref="P6" authorId="0">
      <text>
        <r>
          <rPr>
            <b/>
            <sz val="8"/>
            <color indexed="81"/>
            <rFont val="Tahoma"/>
            <family val="2"/>
          </rPr>
          <t>Note 7,
minimum depth of installation = 4 ft</t>
        </r>
      </text>
    </comment>
    <comment ref="Q6" authorId="0">
      <text>
        <r>
          <rPr>
            <b/>
            <sz val="8"/>
            <color indexed="81"/>
            <rFont val="Tahoma"/>
            <family val="2"/>
          </rPr>
          <t>Note 7,
minimum depth of installation = 5 ft</t>
        </r>
      </text>
    </comment>
    <comment ref="R6" authorId="0">
      <text>
        <r>
          <rPr>
            <b/>
            <sz val="8"/>
            <color indexed="81"/>
            <rFont val="Tahoma"/>
            <family val="2"/>
          </rPr>
          <t>Note 7,
minimum depth of installation = 6.75 ft</t>
        </r>
      </text>
    </comment>
    <comment ref="S6" authorId="0">
      <text>
        <r>
          <rPr>
            <b/>
            <sz val="8"/>
            <color indexed="81"/>
            <rFont val="Tahoma"/>
            <family val="2"/>
          </rPr>
          <t>Note 7,
minimum depth of installation = 6.75 ft</t>
        </r>
      </text>
    </comment>
    <comment ref="T6" authorId="0">
      <text>
        <r>
          <rPr>
            <b/>
            <sz val="8"/>
            <color indexed="81"/>
            <rFont val="Tahoma"/>
            <family val="2"/>
          </rPr>
          <t>Note 7,
minimum depth of installation = 10 ft</t>
        </r>
      </text>
    </comment>
    <comment ref="U6" authorId="0">
      <text>
        <r>
          <rPr>
            <b/>
            <sz val="8"/>
            <color indexed="81"/>
            <rFont val="Tahoma"/>
            <family val="2"/>
          </rPr>
          <t>Note 7,
minimum depth of installation = 13.25 ft</t>
        </r>
      </text>
    </comment>
    <comment ref="V6" authorId="0">
      <text>
        <r>
          <rPr>
            <b/>
            <sz val="8"/>
            <color indexed="81"/>
            <rFont val="Tahoma"/>
            <family val="2"/>
          </rPr>
          <t>Note 7,
minimum depth of installation = 16.5 ft</t>
        </r>
      </text>
    </comment>
    <comment ref="D7" authorId="0">
      <text>
        <r>
          <rPr>
            <b/>
            <sz val="8"/>
            <color indexed="81"/>
            <rFont val="Tahoma"/>
            <family val="2"/>
          </rPr>
          <t>Note 4</t>
        </r>
      </text>
    </comment>
    <comment ref="E7" authorId="0">
      <text>
        <r>
          <rPr>
            <b/>
            <sz val="8"/>
            <color indexed="81"/>
            <rFont val="Tahoma"/>
            <family val="2"/>
          </rPr>
          <t>Note 4</t>
        </r>
      </text>
    </comment>
    <comment ref="F7" authorId="0">
      <text>
        <r>
          <rPr>
            <b/>
            <sz val="8"/>
            <color indexed="81"/>
            <rFont val="Tahoma"/>
            <family val="2"/>
          </rPr>
          <t>Note 4</t>
        </r>
      </text>
    </comment>
    <comment ref="G7" authorId="0">
      <text>
        <r>
          <rPr>
            <b/>
            <sz val="8"/>
            <color indexed="81"/>
            <rFont val="Tahoma"/>
            <family val="2"/>
          </rPr>
          <t>Note 4</t>
        </r>
      </text>
    </comment>
    <comment ref="H7" authorId="0">
      <text>
        <r>
          <rPr>
            <b/>
            <sz val="8"/>
            <color indexed="81"/>
            <rFont val="Tahoma"/>
            <family val="2"/>
          </rPr>
          <t>Note 4</t>
        </r>
      </text>
    </comment>
    <comment ref="I7" authorId="0">
      <text>
        <r>
          <rPr>
            <b/>
            <sz val="8"/>
            <color indexed="81"/>
            <rFont val="Tahoma"/>
            <family val="2"/>
          </rPr>
          <t>Note 4</t>
        </r>
      </text>
    </comment>
    <comment ref="J7" authorId="0">
      <text>
        <r>
          <rPr>
            <b/>
            <sz val="8"/>
            <color indexed="81"/>
            <rFont val="Tahoma"/>
            <family val="2"/>
          </rPr>
          <t>Note 6,
Drive rod dia = 0.25 in;
normal depth of installation = 1.67 ft</t>
        </r>
      </text>
    </comment>
    <comment ref="K7" authorId="0">
      <text>
        <r>
          <rPr>
            <b/>
            <sz val="8"/>
            <color indexed="81"/>
            <rFont val="Tahoma"/>
            <family val="2"/>
          </rPr>
          <t>Note 6,
Drive rod dia = 0.50 in;
normal depth of installation = 2.5 ft</t>
        </r>
      </text>
    </comment>
    <comment ref="L7" authorId="0">
      <text>
        <r>
          <rPr>
            <b/>
            <sz val="8"/>
            <color indexed="81"/>
            <rFont val="Tahoma"/>
            <family val="2"/>
          </rPr>
          <t>Note 6,
Drive rod dia = 0.75 in;
normal depth of installation = 3.5 ft</t>
        </r>
      </text>
    </comment>
    <comment ref="M7" authorId="0">
      <text>
        <r>
          <rPr>
            <b/>
            <sz val="8"/>
            <color indexed="81"/>
            <rFont val="Tahoma"/>
            <family val="2"/>
          </rPr>
          <t>Note 6,
Drive rod dia = 1 in;
normal depth of installation = 5 ft</t>
        </r>
      </text>
    </comment>
    <comment ref="N7" authorId="0">
      <text>
        <r>
          <rPr>
            <b/>
            <sz val="8"/>
            <color indexed="81"/>
            <rFont val="Tahoma"/>
            <family val="2"/>
          </rPr>
          <t>Note 7,
minimum depth of installation = 1.65 ft</t>
        </r>
      </text>
    </comment>
    <comment ref="O7" authorId="0">
      <text>
        <r>
          <rPr>
            <b/>
            <sz val="8"/>
            <color indexed="81"/>
            <rFont val="Tahoma"/>
            <family val="2"/>
          </rPr>
          <t>Note 7,
minimum depth of installation = 2.5 ft</t>
        </r>
      </text>
    </comment>
    <comment ref="P7" authorId="0">
      <text>
        <r>
          <rPr>
            <b/>
            <sz val="8"/>
            <color indexed="81"/>
            <rFont val="Tahoma"/>
            <family val="2"/>
          </rPr>
          <t>Note 7,
minimum depth of installation = 4 ft</t>
        </r>
      </text>
    </comment>
    <comment ref="Q7" authorId="0">
      <text>
        <r>
          <rPr>
            <b/>
            <sz val="8"/>
            <color indexed="81"/>
            <rFont val="Tahoma"/>
            <family val="2"/>
          </rPr>
          <t>Note 7,
minimum depth of installation = 5 ft</t>
        </r>
      </text>
    </comment>
    <comment ref="R7" authorId="0">
      <text>
        <r>
          <rPr>
            <b/>
            <sz val="8"/>
            <color indexed="81"/>
            <rFont val="Tahoma"/>
            <family val="2"/>
          </rPr>
          <t>Note 7,
minimum depth of installation = 6.75 ft</t>
        </r>
      </text>
    </comment>
    <comment ref="S7" authorId="0">
      <text>
        <r>
          <rPr>
            <b/>
            <sz val="8"/>
            <color indexed="81"/>
            <rFont val="Tahoma"/>
            <family val="2"/>
          </rPr>
          <t>Note 7,
minimum depth of installation = 6.75 ft</t>
        </r>
      </text>
    </comment>
    <comment ref="T7" authorId="0">
      <text>
        <r>
          <rPr>
            <b/>
            <sz val="8"/>
            <color indexed="81"/>
            <rFont val="Tahoma"/>
            <family val="2"/>
          </rPr>
          <t>Note 7,
minimum depth of installation = 10 ft</t>
        </r>
      </text>
    </comment>
    <comment ref="U7" authorId="0">
      <text>
        <r>
          <rPr>
            <b/>
            <sz val="8"/>
            <color indexed="81"/>
            <rFont val="Tahoma"/>
            <family val="2"/>
          </rPr>
          <t>Note 7,
minimum depth of installation = 13.25 ft</t>
        </r>
      </text>
    </comment>
    <comment ref="V7" authorId="0">
      <text>
        <r>
          <rPr>
            <b/>
            <sz val="8"/>
            <color indexed="81"/>
            <rFont val="Tahoma"/>
            <family val="2"/>
          </rPr>
          <t>Note 7,
minimum depth of installation = 16.5 ft</t>
        </r>
      </text>
    </comment>
    <comment ref="D8" authorId="0">
      <text>
        <r>
          <rPr>
            <b/>
            <sz val="8"/>
            <color indexed="81"/>
            <rFont val="Tahoma"/>
            <family val="2"/>
          </rPr>
          <t>Note 4</t>
        </r>
      </text>
    </comment>
    <comment ref="E8" authorId="0">
      <text>
        <r>
          <rPr>
            <b/>
            <sz val="8"/>
            <color indexed="81"/>
            <rFont val="Tahoma"/>
            <family val="2"/>
          </rPr>
          <t>Note 4</t>
        </r>
      </text>
    </comment>
    <comment ref="F8" authorId="0">
      <text>
        <r>
          <rPr>
            <b/>
            <sz val="8"/>
            <color indexed="81"/>
            <rFont val="Tahoma"/>
            <family val="2"/>
          </rPr>
          <t>Note 4</t>
        </r>
      </text>
    </comment>
    <comment ref="G8" authorId="0">
      <text>
        <r>
          <rPr>
            <b/>
            <sz val="8"/>
            <color indexed="81"/>
            <rFont val="Tahoma"/>
            <family val="2"/>
          </rPr>
          <t>Note 4</t>
        </r>
      </text>
    </comment>
    <comment ref="H8" authorId="0">
      <text>
        <r>
          <rPr>
            <b/>
            <sz val="8"/>
            <color indexed="81"/>
            <rFont val="Tahoma"/>
            <family val="2"/>
          </rPr>
          <t>Note 4</t>
        </r>
      </text>
    </comment>
    <comment ref="I8" authorId="0">
      <text>
        <r>
          <rPr>
            <b/>
            <sz val="8"/>
            <color indexed="81"/>
            <rFont val="Tahoma"/>
            <family val="2"/>
          </rPr>
          <t>Note 4</t>
        </r>
      </text>
    </comment>
    <comment ref="N8" authorId="0">
      <text>
        <r>
          <rPr>
            <b/>
            <sz val="8"/>
            <color indexed="81"/>
            <rFont val="Tahoma"/>
            <family val="2"/>
          </rPr>
          <t>Note 7,
minimum depth of installation = 1.65 ft</t>
        </r>
      </text>
    </comment>
    <comment ref="O8" authorId="0">
      <text>
        <r>
          <rPr>
            <b/>
            <sz val="8"/>
            <color indexed="81"/>
            <rFont val="Tahoma"/>
            <family val="2"/>
          </rPr>
          <t>Note 7,
minimum depth of installation = 2.5 ft</t>
        </r>
      </text>
    </comment>
    <comment ref="P8" authorId="0">
      <text>
        <r>
          <rPr>
            <b/>
            <sz val="8"/>
            <color indexed="81"/>
            <rFont val="Tahoma"/>
            <family val="2"/>
          </rPr>
          <t>Note 7,
minimum depth of installation = 4 ft</t>
        </r>
      </text>
    </comment>
    <comment ref="Q8" authorId="0">
      <text>
        <r>
          <rPr>
            <b/>
            <sz val="8"/>
            <color indexed="81"/>
            <rFont val="Tahoma"/>
            <family val="2"/>
          </rPr>
          <t>Note 7,
minimum depth of installation = 5 ft</t>
        </r>
      </text>
    </comment>
    <comment ref="R8" authorId="0">
      <text>
        <r>
          <rPr>
            <b/>
            <sz val="8"/>
            <color indexed="81"/>
            <rFont val="Tahoma"/>
            <family val="2"/>
          </rPr>
          <t>Note 7,
minimum depth of installation = 6.75 ft</t>
        </r>
      </text>
    </comment>
    <comment ref="S8" authorId="0">
      <text>
        <r>
          <rPr>
            <b/>
            <sz val="8"/>
            <color indexed="81"/>
            <rFont val="Tahoma"/>
            <family val="2"/>
          </rPr>
          <t>Note 7,
minimum depth of installation = 6.75 ft</t>
        </r>
      </text>
    </comment>
    <comment ref="T8" authorId="0">
      <text>
        <r>
          <rPr>
            <b/>
            <sz val="8"/>
            <color indexed="81"/>
            <rFont val="Tahoma"/>
            <family val="2"/>
          </rPr>
          <t>Note 7,
minimum depth of installation = 10 ft</t>
        </r>
      </text>
    </comment>
    <comment ref="U8" authorId="0">
      <text>
        <r>
          <rPr>
            <b/>
            <sz val="8"/>
            <color indexed="81"/>
            <rFont val="Tahoma"/>
            <family val="2"/>
          </rPr>
          <t>Note 7,
minimum depth of installation = 13.25 ft</t>
        </r>
      </text>
    </comment>
    <comment ref="V8" authorId="0">
      <text>
        <r>
          <rPr>
            <b/>
            <sz val="8"/>
            <color indexed="81"/>
            <rFont val="Tahoma"/>
            <family val="2"/>
          </rPr>
          <t>Note 7,
minimum depth of installation = 16.5 ft</t>
        </r>
      </text>
    </comment>
    <comment ref="D9" authorId="0">
      <text>
        <r>
          <rPr>
            <b/>
            <sz val="8"/>
            <color indexed="81"/>
            <rFont val="Tahoma"/>
            <family val="2"/>
          </rPr>
          <t>Note 4,5</t>
        </r>
      </text>
    </comment>
    <comment ref="E9" authorId="0">
      <text>
        <r>
          <rPr>
            <b/>
            <sz val="8"/>
            <color indexed="81"/>
            <rFont val="Tahoma"/>
            <family val="2"/>
          </rPr>
          <t>Note 4,5</t>
        </r>
      </text>
    </comment>
    <comment ref="F9" authorId="0">
      <text>
        <r>
          <rPr>
            <b/>
            <sz val="8"/>
            <color indexed="81"/>
            <rFont val="Tahoma"/>
            <family val="2"/>
          </rPr>
          <t>Note 4,5</t>
        </r>
      </text>
    </comment>
    <comment ref="G9" authorId="0">
      <text>
        <r>
          <rPr>
            <b/>
            <sz val="8"/>
            <color indexed="81"/>
            <rFont val="Tahoma"/>
            <family val="2"/>
          </rPr>
          <t>Note 4,5</t>
        </r>
      </text>
    </comment>
    <comment ref="H9" authorId="0">
      <text>
        <r>
          <rPr>
            <b/>
            <sz val="8"/>
            <color indexed="81"/>
            <rFont val="Tahoma"/>
            <family val="2"/>
          </rPr>
          <t>Note 4,5</t>
        </r>
      </text>
    </comment>
    <comment ref="I9" authorId="0">
      <text>
        <r>
          <rPr>
            <b/>
            <sz val="8"/>
            <color indexed="81"/>
            <rFont val="Tahoma"/>
            <family val="2"/>
          </rPr>
          <t>Note 4,5</t>
        </r>
      </text>
    </comment>
    <comment ref="N9" authorId="0">
      <text>
        <r>
          <rPr>
            <b/>
            <sz val="8"/>
            <color indexed="81"/>
            <rFont val="Tahoma"/>
            <family val="2"/>
          </rPr>
          <t>Note 7</t>
        </r>
      </text>
    </comment>
    <comment ref="O9" authorId="0">
      <text>
        <r>
          <rPr>
            <b/>
            <sz val="8"/>
            <color indexed="81"/>
            <rFont val="Tahoma"/>
            <family val="2"/>
          </rPr>
          <t>Note 7,
minimum depth of installation = 2.5 ft</t>
        </r>
      </text>
    </comment>
    <comment ref="P9" authorId="0">
      <text>
        <r>
          <rPr>
            <b/>
            <sz val="8"/>
            <color indexed="81"/>
            <rFont val="Tahoma"/>
            <family val="2"/>
          </rPr>
          <t>Note 7,
minimum depth of installation = 4 ft</t>
        </r>
      </text>
    </comment>
    <comment ref="Q9" authorId="0">
      <text>
        <r>
          <rPr>
            <b/>
            <sz val="8"/>
            <color indexed="81"/>
            <rFont val="Tahoma"/>
            <family val="2"/>
          </rPr>
          <t>Note 7,
minimum depth of installation = 5 ft</t>
        </r>
      </text>
    </comment>
    <comment ref="R9" authorId="0">
      <text>
        <r>
          <rPr>
            <b/>
            <sz val="8"/>
            <color indexed="81"/>
            <rFont val="Tahoma"/>
            <family val="2"/>
          </rPr>
          <t>Note 7,
minimum depth of installation = 6.75 ft</t>
        </r>
      </text>
    </comment>
    <comment ref="S9" authorId="0">
      <text>
        <r>
          <rPr>
            <b/>
            <sz val="8"/>
            <color indexed="81"/>
            <rFont val="Tahoma"/>
            <family val="2"/>
          </rPr>
          <t>Note 7,
minimum depth of installation = 6.75 ft</t>
        </r>
      </text>
    </comment>
    <comment ref="T9" authorId="0">
      <text>
        <r>
          <rPr>
            <b/>
            <sz val="8"/>
            <color indexed="81"/>
            <rFont val="Tahoma"/>
            <family val="2"/>
          </rPr>
          <t>Note 7,
minimum depth of installation = 10 ft</t>
        </r>
      </text>
    </comment>
    <comment ref="U9" authorId="0">
      <text>
        <r>
          <rPr>
            <b/>
            <sz val="8"/>
            <color indexed="81"/>
            <rFont val="Tahoma"/>
            <family val="2"/>
          </rPr>
          <t>Note 7,
minimum depth of installation = 13.25 ft</t>
        </r>
      </text>
    </comment>
    <comment ref="V9" authorId="0">
      <text>
        <r>
          <rPr>
            <b/>
            <sz val="8"/>
            <color indexed="81"/>
            <rFont val="Tahoma"/>
            <family val="2"/>
          </rPr>
          <t>Note 7,
minimum depth of installation = 16.5 ft</t>
        </r>
      </text>
    </comment>
    <comment ref="A10" authorId="0">
      <text>
        <r>
          <rPr>
            <b/>
            <sz val="8"/>
            <color indexed="81"/>
            <rFont val="Tahoma"/>
            <family val="2"/>
          </rPr>
          <t>See comments in table for each anchor type</t>
        </r>
      </text>
    </comment>
  </commentList>
</comments>
</file>

<file path=xl/sharedStrings.xml><?xml version="1.0" encoding="utf-8"?>
<sst xmlns="http://schemas.openxmlformats.org/spreadsheetml/2006/main" count="2880" uniqueCount="1295">
  <si>
    <t>Vertical Force Analysis</t>
  </si>
  <si>
    <t>Horizontal Force Analysis</t>
  </si>
  <si>
    <t>ft/s</t>
  </si>
  <si>
    <t>lbf</t>
  </si>
  <si>
    <t>ft</t>
  </si>
  <si>
    <t>deg</t>
  </si>
  <si>
    <t>Coarse gravel</t>
  </si>
  <si>
    <t>Medium gravel</t>
  </si>
  <si>
    <t>Fine gravel</t>
  </si>
  <si>
    <t>Coarse sand</t>
  </si>
  <si>
    <t>Fine sand</t>
  </si>
  <si>
    <t>Grain size (mm)</t>
  </si>
  <si>
    <t>Selected Species</t>
  </si>
  <si>
    <r>
      <t>lb/ft</t>
    </r>
    <r>
      <rPr>
        <vertAlign val="superscript"/>
        <sz val="10"/>
        <rFont val="Arial"/>
        <family val="2"/>
      </rPr>
      <t>3</t>
    </r>
  </si>
  <si>
    <t>TABLE OF CONTENTS</t>
  </si>
  <si>
    <t>Rootwad</t>
  </si>
  <si>
    <t>Structure Type</t>
  </si>
  <si>
    <t>Number</t>
  </si>
  <si>
    <t>Bank</t>
  </si>
  <si>
    <t>DBH</t>
  </si>
  <si>
    <t>Reviewed by:</t>
  </si>
  <si>
    <t>Average</t>
  </si>
  <si>
    <t>Maximum</t>
  </si>
  <si>
    <t>b</t>
  </si>
  <si>
    <t>Tamarack</t>
  </si>
  <si>
    <t>Baldcypress</t>
  </si>
  <si>
    <t>Hackberry</t>
  </si>
  <si>
    <t>Butternut</t>
  </si>
  <si>
    <t>Tanoak</t>
  </si>
  <si>
    <t>Duckbill</t>
  </si>
  <si>
    <t>Hardwood</t>
  </si>
  <si>
    <t>Softwood</t>
  </si>
  <si>
    <t>Source:</t>
  </si>
  <si>
    <t>Type</t>
  </si>
  <si>
    <t>Populus grandidentata</t>
  </si>
  <si>
    <t>Populus tremuloides</t>
  </si>
  <si>
    <t>Tilia americana</t>
  </si>
  <si>
    <t>Fagus grandifolia</t>
  </si>
  <si>
    <t>Pseudotsuga menziesii var. glauca</t>
  </si>
  <si>
    <t>Betula papyrifera</t>
  </si>
  <si>
    <t>Betula lenta</t>
  </si>
  <si>
    <t>Betula alleghaniensis</t>
  </si>
  <si>
    <t>Populus trichocarpa</t>
  </si>
  <si>
    <t>Populus balsamifera</t>
  </si>
  <si>
    <t>Populus deltoides</t>
  </si>
  <si>
    <t>Acer macrophyllum</t>
  </si>
  <si>
    <t>Quercus bicolor</t>
  </si>
  <si>
    <t>Quercus alba</t>
  </si>
  <si>
    <t>Juglans cinerea</t>
  </si>
  <si>
    <t>Prunus serotina</t>
  </si>
  <si>
    <t>Castanea dentata</t>
  </si>
  <si>
    <t>Taxodium distichum</t>
  </si>
  <si>
    <t>Chamaecyparis lawsoniana</t>
  </si>
  <si>
    <t>Thuja plicata</t>
  </si>
  <si>
    <t>Abies grandis</t>
  </si>
  <si>
    <t>Tsuga heterophylla</t>
  </si>
  <si>
    <t>Sequoia sempervirens</t>
  </si>
  <si>
    <t>Picea sitchensis</t>
  </si>
  <si>
    <t>Ulmus americana</t>
  </si>
  <si>
    <t>Proposed Station</t>
  </si>
  <si>
    <t>Site ID</t>
  </si>
  <si>
    <t>Version 1.0</t>
  </si>
  <si>
    <t>yr</t>
  </si>
  <si>
    <t>0.125-0.25</t>
  </si>
  <si>
    <t>Medium sand</t>
  </si>
  <si>
    <t>Very course sand</t>
  </si>
  <si>
    <t>0.25-0.5</t>
  </si>
  <si>
    <t>0.5-1</t>
  </si>
  <si>
    <t>1-2</t>
  </si>
  <si>
    <t>2-4</t>
  </si>
  <si>
    <t>4-8</t>
  </si>
  <si>
    <t>8-16</t>
  </si>
  <si>
    <t>16-32</t>
  </si>
  <si>
    <t>32-64</t>
  </si>
  <si>
    <t>64-128</t>
  </si>
  <si>
    <t>128-256</t>
  </si>
  <si>
    <t>Very fine gravel</t>
  </si>
  <si>
    <t>Very coarse gravel</t>
  </si>
  <si>
    <t>Small Cobble</t>
  </si>
  <si>
    <t>Large Cobble</t>
  </si>
  <si>
    <t>Very fine sand</t>
  </si>
  <si>
    <t>Project Location:</t>
  </si>
  <si>
    <t>Alnus rubra</t>
  </si>
  <si>
    <t>Large Wood Properties</t>
  </si>
  <si>
    <t>Fraxinus nigra</t>
  </si>
  <si>
    <t>Common Name</t>
  </si>
  <si>
    <t>Ulmus thomasii</t>
  </si>
  <si>
    <t>Ulmus rubra</t>
  </si>
  <si>
    <t>Celtis occidentalis</t>
  </si>
  <si>
    <t>Carya cordiformis</t>
  </si>
  <si>
    <t>Carya myristiciformis</t>
  </si>
  <si>
    <t>Carya illinoinensis</t>
  </si>
  <si>
    <t>Carya aquatica</t>
  </si>
  <si>
    <t>Carya tomentosa</t>
  </si>
  <si>
    <t>Carya glabra</t>
  </si>
  <si>
    <t>Carya ovata</t>
  </si>
  <si>
    <t>Carya laciniosa</t>
  </si>
  <si>
    <t>Honey locust</t>
  </si>
  <si>
    <t>Gleditsia triacanthos</t>
  </si>
  <si>
    <t>Robinia pseudoacacia</t>
  </si>
  <si>
    <t>Magnolia acuminata</t>
  </si>
  <si>
    <t>Magnolia grandiflora</t>
  </si>
  <si>
    <t>Acer nigrum</t>
  </si>
  <si>
    <t>Acer rubrum</t>
  </si>
  <si>
    <t>Acer saccharinum</t>
  </si>
  <si>
    <t>Acer saccharum</t>
  </si>
  <si>
    <t>Liquidambar styraciflua</t>
  </si>
  <si>
    <t>Platanus occidentalis</t>
  </si>
  <si>
    <t>Notholithocarpus densiflorus</t>
  </si>
  <si>
    <t>Nyssa sylvatica</t>
  </si>
  <si>
    <t>Nyssa aquatica</t>
  </si>
  <si>
    <t>Juglans nigra</t>
  </si>
  <si>
    <t>Salix nigra</t>
  </si>
  <si>
    <t>Fraxinus quadrangulata</t>
  </si>
  <si>
    <t>Fraxinus pennsylvanica</t>
  </si>
  <si>
    <t>Fraxinus latifolia</t>
  </si>
  <si>
    <t>Fraxinus americana</t>
  </si>
  <si>
    <t>Quercus velutina</t>
  </si>
  <si>
    <t>Quercus pagoda</t>
  </si>
  <si>
    <t>Quercus laurifolia</t>
  </si>
  <si>
    <t>Quercus rubra</t>
  </si>
  <si>
    <t>Quercus palustris</t>
  </si>
  <si>
    <t>Quercus coccinea</t>
  </si>
  <si>
    <t>Quercus falcata</t>
  </si>
  <si>
    <t>Quercus nigra</t>
  </si>
  <si>
    <t>Quercus phellos</t>
  </si>
  <si>
    <t>Quercus macrocarpa</t>
  </si>
  <si>
    <t>Quercus prinus</t>
  </si>
  <si>
    <t>Quercus virginiana</t>
  </si>
  <si>
    <t>Quercus lyrata</t>
  </si>
  <si>
    <t>Quercus stellata</t>
  </si>
  <si>
    <t>Quercus michauxii</t>
  </si>
  <si>
    <t>Larix laricina</t>
  </si>
  <si>
    <t>Picea mariana</t>
  </si>
  <si>
    <t>Picea engelmannii</t>
  </si>
  <si>
    <t>Picea rubens</t>
  </si>
  <si>
    <t>Picea glauca</t>
  </si>
  <si>
    <t>Larix occidentalis</t>
  </si>
  <si>
    <t>Tsuga canadensis</t>
  </si>
  <si>
    <t>Tsuga mertensiana</t>
  </si>
  <si>
    <t>Scientific Name</t>
  </si>
  <si>
    <t>Chamaecyparis thyoides</t>
  </si>
  <si>
    <t>Juniperus virginiana</t>
  </si>
  <si>
    <t>Calocedrus decurrens</t>
  </si>
  <si>
    <t>Thuja occidentalis</t>
  </si>
  <si>
    <t>Cupressus nootkatensis</t>
  </si>
  <si>
    <t>Abies balsamea</t>
  </si>
  <si>
    <t>Abies magnifica</t>
  </si>
  <si>
    <t>Abies procera</t>
  </si>
  <si>
    <t>Abies lasiocarpa</t>
  </si>
  <si>
    <t>Abies amabilis</t>
  </si>
  <si>
    <t>Abies concolor</t>
  </si>
  <si>
    <t>Pinus strobus</t>
  </si>
  <si>
    <t>Pinus banksiana</t>
  </si>
  <si>
    <t>Pinus taeda</t>
  </si>
  <si>
    <t>Pinus contorta</t>
  </si>
  <si>
    <t>Pinus palustris</t>
  </si>
  <si>
    <t>Pinus rigida</t>
  </si>
  <si>
    <t>Pinus serotina</t>
  </si>
  <si>
    <t>Pinus ponderosa</t>
  </si>
  <si>
    <t>Pinus resinosa</t>
  </si>
  <si>
    <t>Pinus clausa</t>
  </si>
  <si>
    <t>Pinus echinata</t>
  </si>
  <si>
    <t>Pinus elliottii</t>
  </si>
  <si>
    <t>Pinus glabra</t>
  </si>
  <si>
    <t>Pinus lambertiana</t>
  </si>
  <si>
    <t>Pinus virginiana</t>
  </si>
  <si>
    <t>Pinus monticola</t>
  </si>
  <si>
    <t>(input)</t>
  </si>
  <si>
    <t>Common Trees in Mid-Atlantic Region</t>
  </si>
  <si>
    <t>Common Trees in New England Region</t>
  </si>
  <si>
    <t>Common Trees in Upper Midwest Region</t>
  </si>
  <si>
    <t>Common Trees in Great Plains Region</t>
  </si>
  <si>
    <t>Common Trees in Southeast Region</t>
  </si>
  <si>
    <t>Common Trees in South Central Region</t>
  </si>
  <si>
    <t>Common Trees in Mountain West Region</t>
  </si>
  <si>
    <t>Common Trees in West Coast Region</t>
  </si>
  <si>
    <t>Tree Type #1:</t>
  </si>
  <si>
    <t>Tree Type #2:</t>
  </si>
  <si>
    <t>Tree Type #3:</t>
  </si>
  <si>
    <t>Tree Type #4:</t>
  </si>
  <si>
    <t>Tree Type #5:</t>
  </si>
  <si>
    <t>Tree Type #6:</t>
  </si>
  <si>
    <t>Tree Type #7:</t>
  </si>
  <si>
    <t>Tree Type #8:</t>
  </si>
  <si>
    <t>Tree Type #9:</t>
  </si>
  <si>
    <t>Tree Type #10:</t>
  </si>
  <si>
    <t>Stream Substrate Sediment Class</t>
  </si>
  <si>
    <t>Custom (optional)</t>
  </si>
  <si>
    <t>(user selection in input table)</t>
  </si>
  <si>
    <t>Average Return Interval (ARI) of Design Discharge:</t>
  </si>
  <si>
    <t>US Dept of Transportation. (2009) Hydraulic Engineering Circular No. 23 v2: Bridge Scour and Stream Instability Countermeasures: Experience, Selection, and Design Guidance-Third Edition. Design Guideline 4 Riprap Revetment.</t>
  </si>
  <si>
    <t>U.S. Department of Agriculture, U.S. Forest Service. (2009) Specific Gravity and Other Properties of Wood and Bark for 156 Tree Species Found in North America. Research Note NRS-38. Table 1A.</t>
  </si>
  <si>
    <t>Value</t>
  </si>
  <si>
    <t>Description</t>
  </si>
  <si>
    <t>Timber Unit Weights</t>
  </si>
  <si>
    <t>Source for timber unit weights:</t>
  </si>
  <si>
    <t>Symbol</t>
  </si>
  <si>
    <t>g</t>
  </si>
  <si>
    <r>
      <rPr>
        <sz val="10"/>
        <rFont val="Symbol"/>
        <family val="1"/>
        <charset val="2"/>
      </rPr>
      <t>g</t>
    </r>
    <r>
      <rPr>
        <vertAlign val="subscript"/>
        <sz val="10"/>
        <rFont val="Arial"/>
        <family val="2"/>
      </rPr>
      <t>w</t>
    </r>
  </si>
  <si>
    <r>
      <t>ft/s</t>
    </r>
    <r>
      <rPr>
        <vertAlign val="superscript"/>
        <sz val="10"/>
        <rFont val="Arial"/>
        <family val="2"/>
      </rPr>
      <t>2</t>
    </r>
  </si>
  <si>
    <t>Gravitational acceleration constant</t>
  </si>
  <si>
    <r>
      <t>Specific weight of water at 50</t>
    </r>
    <r>
      <rPr>
        <sz val="10"/>
        <rFont val="Calibri"/>
        <family val="2"/>
      </rPr>
      <t>⁰</t>
    </r>
    <r>
      <rPr>
        <sz val="10"/>
        <rFont val="Arial"/>
        <family val="2"/>
      </rPr>
      <t>F</t>
    </r>
  </si>
  <si>
    <t>Design discharge</t>
  </si>
  <si>
    <t>Radius of curvature at channel centerline</t>
  </si>
  <si>
    <t>Abbreviations</t>
  </si>
  <si>
    <t>Notation</t>
  </si>
  <si>
    <t>Design velocity</t>
  </si>
  <si>
    <t>Average velocity of cross section in reach</t>
  </si>
  <si>
    <t>Adjusted velocity at outer meander bend</t>
  </si>
  <si>
    <t>-</t>
  </si>
  <si>
    <t>ARI</t>
  </si>
  <si>
    <t>H&amp;H</t>
  </si>
  <si>
    <t>Year</t>
  </si>
  <si>
    <t>mm</t>
  </si>
  <si>
    <t>Degrees</t>
  </si>
  <si>
    <t>Average return interval</t>
  </si>
  <si>
    <t>MC</t>
  </si>
  <si>
    <t>U.S.</t>
  </si>
  <si>
    <t>United States</t>
  </si>
  <si>
    <r>
      <rPr>
        <sz val="10"/>
        <rFont val="Symbol"/>
        <family val="1"/>
        <charset val="2"/>
      </rPr>
      <t>g</t>
    </r>
    <r>
      <rPr>
        <vertAlign val="subscript"/>
        <sz val="10"/>
        <rFont val="Arial"/>
        <family val="2"/>
      </rPr>
      <t>rock</t>
    </r>
  </si>
  <si>
    <t>Maximum flow depth at design discharge in reach</t>
  </si>
  <si>
    <t>Air-dried unit weight of tree (12% MC basis)</t>
  </si>
  <si>
    <t>Green unit weight of tree</t>
  </si>
  <si>
    <t>Source for meander velocity in channel bends:</t>
  </si>
  <si>
    <t>Diameter at breast height</t>
  </si>
  <si>
    <t>Moisture content</t>
  </si>
  <si>
    <t>Hydrologic and hydraulic</t>
  </si>
  <si>
    <t>Total length of tree (including rootwad)</t>
  </si>
  <si>
    <t>h</t>
  </si>
  <si>
    <t>Rootwad porosity from NRCS Tech Note 15 (2001)</t>
  </si>
  <si>
    <t>Assumed diameter of rootwad</t>
  </si>
  <si>
    <t>Assumed length of rootwad</t>
  </si>
  <si>
    <t>Soil Description</t>
  </si>
  <si>
    <t>N/A</t>
  </si>
  <si>
    <t>Blow Count (N)</t>
  </si>
  <si>
    <t>no</t>
  </si>
  <si>
    <t>Bank Soil Properties Lookup Table</t>
  </si>
  <si>
    <t>Probe Value (in/lb)</t>
  </si>
  <si>
    <t>400-500</t>
  </si>
  <si>
    <t>300-400</t>
  </si>
  <si>
    <t>200-300</t>
  </si>
  <si>
    <t>100-200</t>
  </si>
  <si>
    <t>Bank Soil Class</t>
  </si>
  <si>
    <t>7-14</t>
  </si>
  <si>
    <t>Notes:</t>
  </si>
  <si>
    <t>MR-SR</t>
  </si>
  <si>
    <t>MR-1</t>
  </si>
  <si>
    <t>MR-2</t>
  </si>
  <si>
    <t>Soil Class</t>
  </si>
  <si>
    <t>2. Installation may be difficult. Pilot hole may be required.</t>
  </si>
  <si>
    <t>4. Holding capacity limited by soil failure.</t>
  </si>
  <si>
    <t>3. Holding capacity limited by working load of anchors.</t>
  </si>
  <si>
    <t>Capacity (lb)</t>
  </si>
  <si>
    <t>SR-1</t>
  </si>
  <si>
    <t>SR-2</t>
  </si>
  <si>
    <t>SR-3</t>
  </si>
  <si>
    <t>14-40</t>
  </si>
  <si>
    <t>40-100+</t>
  </si>
  <si>
    <t>5. Wide variation in soil properties reduces prediction accuracy. Pre-constructed field test recommended.</t>
  </si>
  <si>
    <t>Anchor Technique Lookup Table (average holding capacities)</t>
  </si>
  <si>
    <t>Dry specific weight of stream bed substrate</t>
  </si>
  <si>
    <t>Internal friction angle of stream bed substrate</t>
  </si>
  <si>
    <t xml:space="preserve">6. Duckbill anchors are rated in an average (class 5) soil condition. Proof-loading is the only way to insure the exact capacity of each installation. Anchor holding capacity will vary in different soils. Increased capacities can be expected in harder soil classes (numerically higher blow count classifications) and lower capacity can be expected in the softer soil classes (numerically lower blow count). </t>
  </si>
  <si>
    <t>Manta Ray</t>
  </si>
  <si>
    <t>Stingray</t>
  </si>
  <si>
    <t>Platipus Stealth</t>
  </si>
  <si>
    <t>DB-40</t>
  </si>
  <si>
    <t>DB-68</t>
  </si>
  <si>
    <t>DB-88</t>
  </si>
  <si>
    <t>DB-138</t>
  </si>
  <si>
    <t>Platipus Bat</t>
  </si>
  <si>
    <t>P-B04T</t>
  </si>
  <si>
    <t>P-S02</t>
  </si>
  <si>
    <t>P-S04</t>
  </si>
  <si>
    <t>P-S06</t>
  </si>
  <si>
    <t>P-S08</t>
  </si>
  <si>
    <t>P-B06T</t>
  </si>
  <si>
    <t>P-B08T</t>
  </si>
  <si>
    <t>P-B10T</t>
  </si>
  <si>
    <t>P-B12T</t>
  </si>
  <si>
    <t>(user input)</t>
  </si>
  <si>
    <t>Custom (User Selection)</t>
  </si>
  <si>
    <t>7. Platipus Stealth and Bat anchors are given a wide range for holding capacities. The high manufacturer's rating was applied to class 4 soils, while the low value was assigned to class 7 soils. Holding capacities for class 5 and 6 soils were interpolated as a guide only. User is responsible for verifying all rating capacities.</t>
  </si>
  <si>
    <r>
      <t>1 kg/m</t>
    </r>
    <r>
      <rPr>
        <vertAlign val="superscript"/>
        <sz val="10"/>
        <rFont val="Arial"/>
        <family val="2"/>
      </rPr>
      <t>3</t>
    </r>
    <r>
      <rPr>
        <sz val="10"/>
        <rFont val="Arial"/>
        <family val="2"/>
      </rPr>
      <t xml:space="preserve"> =</t>
    </r>
  </si>
  <si>
    <r>
      <t>1 lb/ft</t>
    </r>
    <r>
      <rPr>
        <vertAlign val="superscript"/>
        <sz val="10"/>
        <rFont val="Arial"/>
        <family val="2"/>
      </rPr>
      <t>3</t>
    </r>
  </si>
  <si>
    <t>Bedrock</t>
  </si>
  <si>
    <t>Boulder</t>
  </si>
  <si>
    <t>256-2048</t>
  </si>
  <si>
    <t>Silt</t>
  </si>
  <si>
    <t>Clay</t>
  </si>
  <si>
    <t>0.063-0.125</t>
  </si>
  <si>
    <t>0.004-0.063</t>
  </si>
  <si>
    <t>&lt; 0.004</t>
  </si>
  <si>
    <t>Stream Bed Substrate Grain Size Class</t>
  </si>
  <si>
    <t>Internal friction angle of bank soils</t>
  </si>
  <si>
    <t>Dry specific weight of bank soils</t>
  </si>
  <si>
    <t>Description (from field observations)</t>
  </si>
  <si>
    <t>Clayey silt</t>
  </si>
  <si>
    <t>Fine sand, dense</t>
  </si>
  <si>
    <t>Bedrock, solid</t>
  </si>
  <si>
    <t>Gravel, loose</t>
  </si>
  <si>
    <t>Coarse sand, loose</t>
  </si>
  <si>
    <t>Fine sand, loose</t>
  </si>
  <si>
    <t>Bank Soils (from field observations)</t>
  </si>
  <si>
    <t>Gravel/sand</t>
  </si>
  <si>
    <t>Substrate and Soil Properties Lookup Table</t>
  </si>
  <si>
    <t>Coarse sand, dense</t>
  </si>
  <si>
    <t>Gravel, dense</t>
  </si>
  <si>
    <t>Clay, soft</t>
  </si>
  <si>
    <t xml:space="preserve">1. All types -- Use this chart for estimation only. Values shown reflect the manufacturer's minimum expected holding capacity for a given condition. User is responsible for verifying load capacities. The true capacity must be tested by proof-loading. Minimum 2:1 Safety Factor is recommended. </t>
  </si>
  <si>
    <t>Gravel/cobble</t>
  </si>
  <si>
    <t>Silt, soft</t>
  </si>
  <si>
    <t>Custom1 (optional)</t>
  </si>
  <si>
    <t>Custom2 (optional)</t>
  </si>
  <si>
    <t>Loose fine sand; alluvium; soft silts and clays; silty sand</t>
  </si>
  <si>
    <t>Loose coarse sand; dense fine sand; firm silts and clays</t>
  </si>
  <si>
    <t>Silt, firm</t>
  </si>
  <si>
    <t>Clay, firm</t>
  </si>
  <si>
    <t>Stream Bed</t>
  </si>
  <si>
    <t>Material</t>
  </si>
  <si>
    <t>Bed Soil Class</t>
  </si>
  <si>
    <t>Compiled from Julien (2010) and Shen and Julien (1993); soil classes from NRCS Table TS14E–2 Soil classification</t>
  </si>
  <si>
    <t>Dense gravels; gravel/cobble; very hard silts and clays</t>
  </si>
  <si>
    <t>Dense coarse sand; gravel/sand; loose gravels; stiff slits and clays</t>
  </si>
  <si>
    <t>Soils</t>
  </si>
  <si>
    <t>Wood Species</t>
  </si>
  <si>
    <t>Bankfull width at structure site</t>
  </si>
  <si>
    <t>Log Vane</t>
  </si>
  <si>
    <t>Log Weir</t>
  </si>
  <si>
    <t>q</t>
  </si>
  <si>
    <r>
      <rPr>
        <b/>
        <sz val="10"/>
        <color rgb="FF006600"/>
        <rFont val="Symbol"/>
        <family val="1"/>
        <charset val="2"/>
      </rPr>
      <t>q</t>
    </r>
    <r>
      <rPr>
        <b/>
        <sz val="10"/>
        <color rgb="FF006600"/>
        <rFont val="Arial"/>
        <family val="2"/>
      </rPr>
      <t xml:space="preserve"> (deg)</t>
    </r>
  </si>
  <si>
    <t>Nominal diameter of tree stem (DBH)</t>
  </si>
  <si>
    <t>Volume of rootwad</t>
  </si>
  <si>
    <t>Total volume of tree</t>
  </si>
  <si>
    <t>Greek Symbols</t>
  </si>
  <si>
    <t>Units</t>
  </si>
  <si>
    <t>Median grain size in millimeters (SI units)</t>
  </si>
  <si>
    <t>Structure Position</t>
  </si>
  <si>
    <t>Cedar, Incense</t>
  </si>
  <si>
    <t>Douglas-fir, Coast</t>
  </si>
  <si>
    <t>Cedar, Port-Orford</t>
  </si>
  <si>
    <t>Cedar, Western redcedar</t>
  </si>
  <si>
    <t>Fir, California red</t>
  </si>
  <si>
    <t>Willow, Black</t>
  </si>
  <si>
    <t>Maple, Bigleaf</t>
  </si>
  <si>
    <t>Cottonwood, Black</t>
  </si>
  <si>
    <t>Birch, Paper</t>
  </si>
  <si>
    <t>Aspen, Quaking</t>
  </si>
  <si>
    <t>Ash, Oregon</t>
  </si>
  <si>
    <t>Alder, Red</t>
  </si>
  <si>
    <t>Spruce, Sitka</t>
  </si>
  <si>
    <t>Spruce, Engelmann</t>
  </si>
  <si>
    <t>Pine, Western white</t>
  </si>
  <si>
    <t>Pine, Sugar</t>
  </si>
  <si>
    <t>Pine, Ponderosa</t>
  </si>
  <si>
    <t>Pine, Lodgepole</t>
  </si>
  <si>
    <t>Larch, Western</t>
  </si>
  <si>
    <t>Hemlock, Western</t>
  </si>
  <si>
    <t>Hemlock, Mountain</t>
  </si>
  <si>
    <t>Fir, White</t>
  </si>
  <si>
    <t>Fir, Subalpine</t>
  </si>
  <si>
    <t>Fir, Pacific silver</t>
  </si>
  <si>
    <t>Fir, Noble</t>
  </si>
  <si>
    <t>Fir, Grand</t>
  </si>
  <si>
    <t>Douglas-fir, Interior west</t>
  </si>
  <si>
    <t>Douglas-fir, Interior north</t>
  </si>
  <si>
    <t>Douglas-fir, Interior south</t>
  </si>
  <si>
    <t>Ash, Green</t>
  </si>
  <si>
    <t>Cherry, Black</t>
  </si>
  <si>
    <t>Cottonwood, Eastern</t>
  </si>
  <si>
    <t>Cedar, Alaska-yellow</t>
  </si>
  <si>
    <t>Cedar, Eastern redcedar</t>
  </si>
  <si>
    <t>Cedar, Northern white</t>
  </si>
  <si>
    <t>Fir, Balsam</t>
  </si>
  <si>
    <t>Pine, Eastern white</t>
  </si>
  <si>
    <t>Pine, Jack</t>
  </si>
  <si>
    <t>Pine, Red</t>
  </si>
  <si>
    <t>Pine, Shortleaf</t>
  </si>
  <si>
    <t>Spruce, Black</t>
  </si>
  <si>
    <t>Spruce, White</t>
  </si>
  <si>
    <t>Ash, Black</t>
  </si>
  <si>
    <t>Ash, Blue</t>
  </si>
  <si>
    <t>Ash, White</t>
  </si>
  <si>
    <t>Aspen, Bigtooth</t>
  </si>
  <si>
    <t>Basswood, American</t>
  </si>
  <si>
    <t>Birch, Yellow</t>
  </si>
  <si>
    <t>Elm, American</t>
  </si>
  <si>
    <t>Elm, Rock</t>
  </si>
  <si>
    <t>Elm, Slippery</t>
  </si>
  <si>
    <t>Hickory, Bitternut</t>
  </si>
  <si>
    <t>Balsam poplar (cottonwood)</t>
  </si>
  <si>
    <t>Pecan (hickory)</t>
  </si>
  <si>
    <t>Hickory, Mockernut</t>
  </si>
  <si>
    <t>Hickory, Pignut</t>
  </si>
  <si>
    <t>Hickory, Shagbark</t>
  </si>
  <si>
    <t>Hickory, Shellbark</t>
  </si>
  <si>
    <t>Locust, Black</t>
  </si>
  <si>
    <t>Maple, Black</t>
  </si>
  <si>
    <t>Maple, Red</t>
  </si>
  <si>
    <t>Maple, Silver</t>
  </si>
  <si>
    <t>Maple, Sugar</t>
  </si>
  <si>
    <t>Oak, Black</t>
  </si>
  <si>
    <t>Oak, Cherrybark</t>
  </si>
  <si>
    <t>Oak, Northern red</t>
  </si>
  <si>
    <t>Oak, Pin</t>
  </si>
  <si>
    <t>Oak, Scarlet</t>
  </si>
  <si>
    <t>Oak, Southern red</t>
  </si>
  <si>
    <t>Oak, Bur</t>
  </si>
  <si>
    <t xml:space="preserve">Oak, Post </t>
  </si>
  <si>
    <t>Oak, Swamp white</t>
  </si>
  <si>
    <t>Oak, White</t>
  </si>
  <si>
    <t>Sycamore, American</t>
  </si>
  <si>
    <t>Tupelo, Black</t>
  </si>
  <si>
    <t>Walnut, Black</t>
  </si>
  <si>
    <t>Hemlock, Eastern</t>
  </si>
  <si>
    <t>Pine, Pitch</t>
  </si>
  <si>
    <t>Pine, Virginia</t>
  </si>
  <si>
    <t>Beech, American</t>
  </si>
  <si>
    <t>Birch, Sweet</t>
  </si>
  <si>
    <t>Chestnut, American</t>
  </si>
  <si>
    <t>Oak, Chestnut</t>
  </si>
  <si>
    <t>Oak, Overcup</t>
  </si>
  <si>
    <t>Oak, Swamp chestnut</t>
  </si>
  <si>
    <t>Sweetgum, American</t>
  </si>
  <si>
    <t>Cedar, Atlantic white</t>
  </si>
  <si>
    <t>Spruce, Red</t>
  </si>
  <si>
    <t>Pine, Loblolly</t>
  </si>
  <si>
    <t>Pine, Longleaf</t>
  </si>
  <si>
    <t>Pine, Slash</t>
  </si>
  <si>
    <t>Pine, Spruce</t>
  </si>
  <si>
    <t>Hickory, Nutmeg</t>
  </si>
  <si>
    <t>Hickory, Water</t>
  </si>
  <si>
    <t>Cucumbertree (magnolia)</t>
  </si>
  <si>
    <t>Magnolia, Southern</t>
  </si>
  <si>
    <t>Oak, Laurel</t>
  </si>
  <si>
    <t>Oak, Water</t>
  </si>
  <si>
    <t>Oak, Willow</t>
  </si>
  <si>
    <t>Oak, Southern live</t>
  </si>
  <si>
    <t>Tupelo, Water</t>
  </si>
  <si>
    <t>Pine, Pond</t>
  </si>
  <si>
    <t>Pine, Sand</t>
  </si>
  <si>
    <t>e</t>
  </si>
  <si>
    <t>Specific gravity of quartz particles</t>
  </si>
  <si>
    <t>Dry unit weight of boulders</t>
  </si>
  <si>
    <t>Void ratio of soils</t>
  </si>
  <si>
    <t>Porosity of soil volume</t>
  </si>
  <si>
    <r>
      <t>Bank Soil Properties</t>
    </r>
    <r>
      <rPr>
        <b/>
        <vertAlign val="superscript"/>
        <sz val="10"/>
        <color rgb="FFFF0000"/>
        <rFont val="Arial"/>
        <family val="2"/>
      </rPr>
      <t>1</t>
    </r>
  </si>
  <si>
    <r>
      <t>General Substrate and Soil Properties</t>
    </r>
    <r>
      <rPr>
        <b/>
        <vertAlign val="superscript"/>
        <sz val="10"/>
        <color rgb="FFFF0000"/>
        <rFont val="Arial"/>
        <family val="2"/>
      </rPr>
      <t>1</t>
    </r>
  </si>
  <si>
    <t>Saturated unit weight of bank soils</t>
  </si>
  <si>
    <t>Effective buoyant unit weight of bank soils</t>
  </si>
  <si>
    <t>Effective buoyant unit weight of stream bed substrate</t>
  </si>
  <si>
    <t>LW</t>
  </si>
  <si>
    <t>ELJ</t>
  </si>
  <si>
    <t>Engineered log jam</t>
  </si>
  <si>
    <t>Large wood</t>
  </si>
  <si>
    <t>Single Log Stability Analysis Model Inputs</t>
  </si>
  <si>
    <t>Total</t>
  </si>
  <si>
    <t>Vertical Force Balance</t>
  </si>
  <si>
    <t>Horizontal Force Balance</t>
  </si>
  <si>
    <t>Moment Force Balance</t>
  </si>
  <si>
    <t>Drag Force</t>
  </si>
  <si>
    <t>n</t>
  </si>
  <si>
    <t>Kinematic viscosity of water at 50⁰F</t>
  </si>
  <si>
    <t>RW</t>
  </si>
  <si>
    <t>Dia</t>
  </si>
  <si>
    <t>Diameter</t>
  </si>
  <si>
    <r>
      <t xml:space="preserve">Adjusted </t>
    </r>
    <r>
      <rPr>
        <b/>
        <sz val="10"/>
        <color rgb="FF006600"/>
        <rFont val="Symbol"/>
        <family val="1"/>
        <charset val="2"/>
      </rPr>
      <t>q</t>
    </r>
    <r>
      <rPr>
        <b/>
        <sz val="10"/>
        <color rgb="FF006600"/>
        <rFont val="Arial"/>
        <family val="2"/>
      </rPr>
      <t xml:space="preserve"> (deg)</t>
    </r>
  </si>
  <si>
    <t>check:</t>
  </si>
  <si>
    <t xml:space="preserve">Wetted area of channel at design discharge </t>
  </si>
  <si>
    <t>Source:  Gippel (1992) plot of drag coefficients</t>
  </si>
  <si>
    <r>
      <t>C</t>
    </r>
    <r>
      <rPr>
        <b/>
        <vertAlign val="subscript"/>
        <sz val="10"/>
        <rFont val="Arial"/>
        <family val="2"/>
      </rPr>
      <t>D</t>
    </r>
    <r>
      <rPr>
        <b/>
        <sz val="10"/>
        <rFont val="Arial"/>
        <family val="2"/>
      </rPr>
      <t xml:space="preserve"> Stem with Exposed RW Lookup Table</t>
    </r>
  </si>
  <si>
    <t>SL</t>
  </si>
  <si>
    <t>Single log</t>
  </si>
  <si>
    <t>cfs</t>
  </si>
  <si>
    <t>Structure Geometry</t>
  </si>
  <si>
    <t>Right bank</t>
  </si>
  <si>
    <t>RB</t>
  </si>
  <si>
    <t>LB</t>
  </si>
  <si>
    <t>Left bank</t>
  </si>
  <si>
    <r>
      <t>R</t>
    </r>
    <r>
      <rPr>
        <b/>
        <vertAlign val="subscript"/>
        <sz val="10"/>
        <color rgb="FF003300"/>
        <rFont val="Arial"/>
        <family val="2"/>
      </rPr>
      <t>c</t>
    </r>
    <r>
      <rPr>
        <b/>
        <sz val="10"/>
        <color rgb="FF003300"/>
        <rFont val="Arial"/>
        <family val="2"/>
      </rPr>
      <t>/W</t>
    </r>
    <r>
      <rPr>
        <b/>
        <vertAlign val="subscript"/>
        <sz val="10"/>
        <color rgb="FF003300"/>
        <rFont val="Arial"/>
        <family val="2"/>
      </rPr>
      <t>BF</t>
    </r>
  </si>
  <si>
    <r>
      <t>L</t>
    </r>
    <r>
      <rPr>
        <b/>
        <vertAlign val="subscript"/>
        <sz val="10"/>
        <color rgb="FF003300"/>
        <rFont val="Arial"/>
        <family val="2"/>
      </rPr>
      <t>T</t>
    </r>
    <r>
      <rPr>
        <b/>
        <sz val="10"/>
        <color rgb="FF003300"/>
        <rFont val="Arial"/>
        <family val="2"/>
      </rPr>
      <t xml:space="preserve"> (ft)</t>
    </r>
  </si>
  <si>
    <r>
      <t>D</t>
    </r>
    <r>
      <rPr>
        <b/>
        <vertAlign val="subscript"/>
        <sz val="10"/>
        <color rgb="FF003300"/>
        <rFont val="Arial"/>
        <family val="2"/>
      </rPr>
      <t>TS</t>
    </r>
    <r>
      <rPr>
        <b/>
        <sz val="10"/>
        <color rgb="FF003300"/>
        <rFont val="Arial"/>
        <family val="2"/>
      </rPr>
      <t xml:space="preserve"> (ft)</t>
    </r>
  </si>
  <si>
    <r>
      <t>L</t>
    </r>
    <r>
      <rPr>
        <b/>
        <vertAlign val="subscript"/>
        <sz val="10"/>
        <color rgb="FF003300"/>
        <rFont val="Arial"/>
        <family val="2"/>
      </rPr>
      <t>RW</t>
    </r>
    <r>
      <rPr>
        <b/>
        <sz val="10"/>
        <color rgb="FF003300"/>
        <rFont val="Arial"/>
        <family val="2"/>
      </rPr>
      <t xml:space="preserve"> (ft)</t>
    </r>
  </si>
  <si>
    <r>
      <t>D</t>
    </r>
    <r>
      <rPr>
        <b/>
        <vertAlign val="subscript"/>
        <sz val="10"/>
        <color rgb="FF003300"/>
        <rFont val="Arial"/>
        <family val="2"/>
      </rPr>
      <t>RW</t>
    </r>
    <r>
      <rPr>
        <b/>
        <sz val="10"/>
        <color rgb="FF003300"/>
        <rFont val="Arial"/>
        <family val="2"/>
      </rPr>
      <t xml:space="preserve"> (ft)</t>
    </r>
  </si>
  <si>
    <r>
      <t>g</t>
    </r>
    <r>
      <rPr>
        <b/>
        <vertAlign val="subscript"/>
        <sz val="10"/>
        <color rgb="FF003300"/>
        <rFont val="Arial"/>
        <family val="2"/>
      </rPr>
      <t>Td</t>
    </r>
    <r>
      <rPr>
        <b/>
        <sz val="10"/>
        <color rgb="FF003300"/>
        <rFont val="Arial"/>
        <family val="2"/>
      </rPr>
      <t xml:space="preserve"> (lb/ft</t>
    </r>
    <r>
      <rPr>
        <b/>
        <vertAlign val="superscript"/>
        <sz val="10"/>
        <color rgb="FF003300"/>
        <rFont val="Arial"/>
        <family val="2"/>
      </rPr>
      <t>3</t>
    </r>
    <r>
      <rPr>
        <b/>
        <sz val="10"/>
        <color rgb="FF003300"/>
        <rFont val="Arial"/>
        <family val="2"/>
      </rPr>
      <t>)</t>
    </r>
  </si>
  <si>
    <r>
      <t>g</t>
    </r>
    <r>
      <rPr>
        <b/>
        <vertAlign val="subscript"/>
        <sz val="10"/>
        <color rgb="FF003300"/>
        <rFont val="Arial"/>
        <family val="2"/>
      </rPr>
      <t>Tgr</t>
    </r>
    <r>
      <rPr>
        <b/>
        <sz val="10"/>
        <color rgb="FF003300"/>
        <rFont val="Arial"/>
        <family val="2"/>
      </rPr>
      <t xml:space="preserve"> (lb/ft</t>
    </r>
    <r>
      <rPr>
        <b/>
        <vertAlign val="superscript"/>
        <sz val="10"/>
        <color rgb="FF003300"/>
        <rFont val="Arial"/>
        <family val="2"/>
      </rPr>
      <t>3</t>
    </r>
    <r>
      <rPr>
        <b/>
        <sz val="10"/>
        <color rgb="FF003300"/>
        <rFont val="Arial"/>
        <family val="2"/>
      </rPr>
      <t>)</t>
    </r>
  </si>
  <si>
    <r>
      <t>u</t>
    </r>
    <r>
      <rPr>
        <b/>
        <vertAlign val="subscript"/>
        <sz val="10"/>
        <color rgb="FF003300"/>
        <rFont val="Arial"/>
        <family val="2"/>
      </rPr>
      <t>des</t>
    </r>
    <r>
      <rPr>
        <b/>
        <sz val="10"/>
        <color rgb="FF003300"/>
        <rFont val="Arial"/>
        <family val="2"/>
      </rPr>
      <t xml:space="preserve"> (ft/s)</t>
    </r>
  </si>
  <si>
    <r>
      <rPr>
        <b/>
        <sz val="10"/>
        <color rgb="FF003300"/>
        <rFont val="Symbol"/>
        <family val="1"/>
        <charset val="2"/>
      </rPr>
      <t>q</t>
    </r>
    <r>
      <rPr>
        <b/>
        <sz val="10"/>
        <color rgb="FF003300"/>
        <rFont val="Arial"/>
        <family val="2"/>
      </rPr>
      <t xml:space="preserve"> (deg)</t>
    </r>
  </si>
  <si>
    <r>
      <rPr>
        <b/>
        <sz val="10"/>
        <color rgb="FF003300"/>
        <rFont val="Symbol"/>
        <family val="1"/>
        <charset val="2"/>
      </rPr>
      <t>b</t>
    </r>
    <r>
      <rPr>
        <b/>
        <sz val="10"/>
        <color rgb="FF003300"/>
        <rFont val="Arial"/>
        <family val="2"/>
      </rPr>
      <t xml:space="preserve"> (deg)</t>
    </r>
  </si>
  <si>
    <r>
      <t>f</t>
    </r>
    <r>
      <rPr>
        <b/>
        <sz val="10"/>
        <color rgb="FF003300"/>
        <rFont val="Arial"/>
        <family val="2"/>
      </rPr>
      <t xml:space="preserve"> (deg)</t>
    </r>
  </si>
  <si>
    <r>
      <t>A</t>
    </r>
    <r>
      <rPr>
        <b/>
        <vertAlign val="subscript"/>
        <sz val="10"/>
        <color rgb="FF003300"/>
        <rFont val="Arial"/>
        <family val="2"/>
      </rPr>
      <t>Tp</t>
    </r>
    <r>
      <rPr>
        <b/>
        <sz val="10"/>
        <color rgb="FF003300"/>
        <rFont val="Arial"/>
        <family val="2"/>
      </rPr>
      <t xml:space="preserve"> (ft</t>
    </r>
    <r>
      <rPr>
        <b/>
        <vertAlign val="superscript"/>
        <sz val="10"/>
        <color rgb="FF003300"/>
        <rFont val="Arial"/>
        <family val="2"/>
      </rPr>
      <t>2</t>
    </r>
    <r>
      <rPr>
        <b/>
        <sz val="10"/>
        <color rgb="FF003300"/>
        <rFont val="Arial"/>
        <family val="2"/>
      </rPr>
      <t>)</t>
    </r>
  </si>
  <si>
    <r>
      <t>V</t>
    </r>
    <r>
      <rPr>
        <b/>
        <vertAlign val="subscript"/>
        <sz val="10"/>
        <color rgb="FF003300"/>
        <rFont val="Arial"/>
        <family val="2"/>
      </rPr>
      <t>TS</t>
    </r>
    <r>
      <rPr>
        <b/>
        <sz val="10"/>
        <color rgb="FF003300"/>
        <rFont val="Arial"/>
        <family val="2"/>
      </rPr>
      <t xml:space="preserve"> (ft</t>
    </r>
    <r>
      <rPr>
        <b/>
        <vertAlign val="superscript"/>
        <sz val="10"/>
        <color rgb="FF003300"/>
        <rFont val="Arial"/>
        <family val="2"/>
      </rPr>
      <t>3</t>
    </r>
    <r>
      <rPr>
        <b/>
        <sz val="10"/>
        <color rgb="FF003300"/>
        <rFont val="Arial"/>
        <family val="2"/>
      </rPr>
      <t>)</t>
    </r>
  </si>
  <si>
    <r>
      <t>V</t>
    </r>
    <r>
      <rPr>
        <b/>
        <vertAlign val="subscript"/>
        <sz val="10"/>
        <color rgb="FF003300"/>
        <rFont val="Arial"/>
        <family val="2"/>
      </rPr>
      <t>RW</t>
    </r>
    <r>
      <rPr>
        <b/>
        <sz val="10"/>
        <color rgb="FF003300"/>
        <rFont val="Arial"/>
        <family val="2"/>
      </rPr>
      <t xml:space="preserve"> (ft</t>
    </r>
    <r>
      <rPr>
        <b/>
        <vertAlign val="superscript"/>
        <sz val="10"/>
        <color rgb="FF003300"/>
        <rFont val="Arial"/>
        <family val="2"/>
      </rPr>
      <t>3</t>
    </r>
    <r>
      <rPr>
        <b/>
        <sz val="10"/>
        <color rgb="FF003300"/>
        <rFont val="Arial"/>
        <family val="2"/>
      </rPr>
      <t>)</t>
    </r>
  </si>
  <si>
    <r>
      <t>V</t>
    </r>
    <r>
      <rPr>
        <b/>
        <vertAlign val="subscript"/>
        <sz val="10"/>
        <color rgb="FF003300"/>
        <rFont val="Arial"/>
        <family val="2"/>
      </rPr>
      <t>T</t>
    </r>
    <r>
      <rPr>
        <b/>
        <sz val="10"/>
        <color rgb="FF003300"/>
        <rFont val="Arial"/>
        <family val="2"/>
      </rPr>
      <t xml:space="preserve"> (ft</t>
    </r>
    <r>
      <rPr>
        <b/>
        <vertAlign val="superscript"/>
        <sz val="10"/>
        <color rgb="FF003300"/>
        <rFont val="Arial"/>
        <family val="2"/>
      </rPr>
      <t>3</t>
    </r>
    <r>
      <rPr>
        <b/>
        <sz val="10"/>
        <color rgb="FF003300"/>
        <rFont val="Arial"/>
        <family val="2"/>
      </rPr>
      <t>)</t>
    </r>
  </si>
  <si>
    <r>
      <t>F</t>
    </r>
    <r>
      <rPr>
        <b/>
        <vertAlign val="subscript"/>
        <sz val="10"/>
        <color rgb="FF003300"/>
        <rFont val="Arial"/>
        <family val="2"/>
      </rPr>
      <t>B</t>
    </r>
    <r>
      <rPr>
        <b/>
        <sz val="10"/>
        <color rgb="FF003300"/>
        <rFont val="Arial"/>
        <family val="2"/>
      </rPr>
      <t xml:space="preserve"> (lbf)</t>
    </r>
  </si>
  <si>
    <r>
      <t>F</t>
    </r>
    <r>
      <rPr>
        <b/>
        <vertAlign val="subscript"/>
        <sz val="10"/>
        <color rgb="FF003300"/>
        <rFont val="Arial"/>
        <family val="2"/>
      </rPr>
      <t>L</t>
    </r>
    <r>
      <rPr>
        <b/>
        <sz val="10"/>
        <color rgb="FF003300"/>
        <rFont val="Arial"/>
        <family val="2"/>
      </rPr>
      <t xml:space="preserve"> (lbf)</t>
    </r>
  </si>
  <si>
    <r>
      <t>F</t>
    </r>
    <r>
      <rPr>
        <b/>
        <vertAlign val="subscript"/>
        <sz val="10"/>
        <color rgb="FF003300"/>
        <rFont val="Arial"/>
        <family val="2"/>
      </rPr>
      <t>soil</t>
    </r>
    <r>
      <rPr>
        <b/>
        <sz val="10"/>
        <color rgb="FF003300"/>
        <rFont val="Arial"/>
        <family val="2"/>
      </rPr>
      <t xml:space="preserve"> (lbf)</t>
    </r>
  </si>
  <si>
    <r>
      <t>Fr</t>
    </r>
    <r>
      <rPr>
        <b/>
        <vertAlign val="subscript"/>
        <sz val="10"/>
        <color rgb="FF003300"/>
        <rFont val="Arial"/>
        <family val="2"/>
      </rPr>
      <t>L</t>
    </r>
  </si>
  <si>
    <r>
      <t>C</t>
    </r>
    <r>
      <rPr>
        <b/>
        <vertAlign val="subscript"/>
        <sz val="10"/>
        <color rgb="FF003300"/>
        <rFont val="Arial"/>
        <family val="2"/>
      </rPr>
      <t>w</t>
    </r>
  </si>
  <si>
    <r>
      <t>C</t>
    </r>
    <r>
      <rPr>
        <b/>
        <vertAlign val="subscript"/>
        <sz val="10"/>
        <color rgb="FF003300"/>
        <rFont val="Arial"/>
        <family val="2"/>
      </rPr>
      <t>D</t>
    </r>
    <r>
      <rPr>
        <b/>
        <sz val="10"/>
        <color rgb="FF003300"/>
        <rFont val="Arial"/>
        <family val="2"/>
      </rPr>
      <t>*</t>
    </r>
  </si>
  <si>
    <r>
      <t>F</t>
    </r>
    <r>
      <rPr>
        <b/>
        <vertAlign val="subscript"/>
        <sz val="10"/>
        <color rgb="FF003300"/>
        <rFont val="Arial"/>
        <family val="2"/>
      </rPr>
      <t>D</t>
    </r>
    <r>
      <rPr>
        <b/>
        <sz val="10"/>
        <color rgb="FF003300"/>
        <rFont val="Arial"/>
        <family val="2"/>
      </rPr>
      <t xml:space="preserve"> (lbf)</t>
    </r>
  </si>
  <si>
    <r>
      <rPr>
        <b/>
        <sz val="10"/>
        <color rgb="FF003300"/>
        <rFont val="Symbol"/>
        <family val="1"/>
        <charset val="2"/>
      </rPr>
      <t>g</t>
    </r>
    <r>
      <rPr>
        <b/>
        <vertAlign val="subscript"/>
        <sz val="10"/>
        <color rgb="FF003300"/>
        <rFont val="Arial"/>
        <family val="2"/>
      </rPr>
      <t>Td</t>
    </r>
    <r>
      <rPr>
        <b/>
        <sz val="10"/>
        <color rgb="FF003300"/>
        <rFont val="Arial"/>
        <family val="2"/>
      </rPr>
      <t xml:space="preserve"> (lb/ft</t>
    </r>
    <r>
      <rPr>
        <b/>
        <vertAlign val="superscript"/>
        <sz val="10"/>
        <color rgb="FF003300"/>
        <rFont val="Arial"/>
        <family val="2"/>
      </rPr>
      <t>3</t>
    </r>
    <r>
      <rPr>
        <b/>
        <sz val="10"/>
        <color rgb="FF003300"/>
        <rFont val="Arial"/>
        <family val="2"/>
      </rPr>
      <t>)</t>
    </r>
  </si>
  <si>
    <r>
      <rPr>
        <b/>
        <sz val="10"/>
        <color rgb="FF003300"/>
        <rFont val="Symbol"/>
        <family val="1"/>
        <charset val="2"/>
      </rPr>
      <t>g</t>
    </r>
    <r>
      <rPr>
        <b/>
        <vertAlign val="subscript"/>
        <sz val="10"/>
        <color rgb="FF003300"/>
        <rFont val="Arial"/>
        <family val="2"/>
      </rPr>
      <t>Tgr</t>
    </r>
    <r>
      <rPr>
        <b/>
        <sz val="10"/>
        <color rgb="FF003300"/>
        <rFont val="Arial"/>
        <family val="2"/>
      </rPr>
      <t xml:space="preserve"> (lb/ft</t>
    </r>
    <r>
      <rPr>
        <b/>
        <vertAlign val="superscript"/>
        <sz val="10"/>
        <color rgb="FF003300"/>
        <rFont val="Arial"/>
        <family val="2"/>
      </rPr>
      <t>3</t>
    </r>
    <r>
      <rPr>
        <b/>
        <sz val="10"/>
        <color rgb="FF003300"/>
        <rFont val="Arial"/>
        <family val="2"/>
      </rPr>
      <t>)</t>
    </r>
  </si>
  <si>
    <r>
      <t xml:space="preserve">Buoyant Unit Weight,   </t>
    </r>
    <r>
      <rPr>
        <b/>
        <sz val="10"/>
        <color rgb="FF003300"/>
        <rFont val="Symbol"/>
        <family val="1"/>
        <charset val="2"/>
      </rPr>
      <t>g</t>
    </r>
    <r>
      <rPr>
        <b/>
        <sz val="10"/>
        <color rgb="FF003300"/>
        <rFont val="Arial"/>
        <family val="2"/>
      </rPr>
      <t>'</t>
    </r>
    <r>
      <rPr>
        <b/>
        <vertAlign val="subscript"/>
        <sz val="10"/>
        <color rgb="FF003300"/>
        <rFont val="Arial"/>
        <family val="2"/>
      </rPr>
      <t>bed</t>
    </r>
    <r>
      <rPr>
        <b/>
        <sz val="10"/>
        <color rgb="FF003300"/>
        <rFont val="Arial"/>
        <family val="2"/>
      </rPr>
      <t xml:space="preserve"> (lb/ft</t>
    </r>
    <r>
      <rPr>
        <b/>
        <vertAlign val="superscript"/>
        <sz val="10"/>
        <color rgb="FF003300"/>
        <rFont val="Arial"/>
        <family val="2"/>
      </rPr>
      <t>3</t>
    </r>
    <r>
      <rPr>
        <b/>
        <sz val="10"/>
        <color rgb="FF003300"/>
        <rFont val="Arial"/>
        <family val="2"/>
      </rPr>
      <t>)</t>
    </r>
  </si>
  <si>
    <r>
      <t xml:space="preserve">Friction Angle, </t>
    </r>
    <r>
      <rPr>
        <b/>
        <sz val="10"/>
        <color rgb="FF003300"/>
        <rFont val="Symbol"/>
        <family val="1"/>
        <charset val="2"/>
      </rPr>
      <t>f</t>
    </r>
    <r>
      <rPr>
        <b/>
        <vertAlign val="subscript"/>
        <sz val="10"/>
        <color rgb="FF003300"/>
        <rFont val="Arial"/>
        <family val="2"/>
      </rPr>
      <t>bed</t>
    </r>
    <r>
      <rPr>
        <b/>
        <sz val="10"/>
        <color rgb="FF003300"/>
        <rFont val="Arial"/>
        <family val="2"/>
      </rPr>
      <t xml:space="preserve"> (deg)</t>
    </r>
  </si>
  <si>
    <r>
      <t xml:space="preserve">Buoyant Unit Weight, </t>
    </r>
    <r>
      <rPr>
        <b/>
        <sz val="10"/>
        <color rgb="FF003300"/>
        <rFont val="Symbol"/>
        <family val="1"/>
        <charset val="2"/>
      </rPr>
      <t>g</t>
    </r>
    <r>
      <rPr>
        <b/>
        <sz val="10"/>
        <color rgb="FF003300"/>
        <rFont val="Arial"/>
        <family val="2"/>
      </rPr>
      <t>'</t>
    </r>
    <r>
      <rPr>
        <b/>
        <vertAlign val="subscript"/>
        <sz val="10"/>
        <color rgb="FF003300"/>
        <rFont val="Arial"/>
        <family val="2"/>
      </rPr>
      <t>bank</t>
    </r>
    <r>
      <rPr>
        <b/>
        <sz val="10"/>
        <color rgb="FF003300"/>
        <rFont val="Arial"/>
        <family val="2"/>
      </rPr>
      <t xml:space="preserve"> (lb/ft</t>
    </r>
    <r>
      <rPr>
        <b/>
        <vertAlign val="superscript"/>
        <sz val="10"/>
        <color rgb="FF003300"/>
        <rFont val="Arial"/>
        <family val="2"/>
      </rPr>
      <t>3</t>
    </r>
    <r>
      <rPr>
        <b/>
        <sz val="10"/>
        <color rgb="FF003300"/>
        <rFont val="Arial"/>
        <family val="2"/>
      </rPr>
      <t>)</t>
    </r>
  </si>
  <si>
    <r>
      <t xml:space="preserve">Friction Angle, </t>
    </r>
    <r>
      <rPr>
        <b/>
        <sz val="10"/>
        <color rgb="FF003300"/>
        <rFont val="Symbol"/>
        <family val="1"/>
        <charset val="2"/>
      </rPr>
      <t>f</t>
    </r>
    <r>
      <rPr>
        <b/>
        <vertAlign val="subscript"/>
        <sz val="10"/>
        <color rgb="FF003300"/>
        <rFont val="Arial"/>
        <family val="2"/>
      </rPr>
      <t>bank</t>
    </r>
    <r>
      <rPr>
        <b/>
        <sz val="10"/>
        <color rgb="FF003300"/>
        <rFont val="Arial"/>
        <family val="2"/>
      </rPr>
      <t xml:space="preserve"> (deg)</t>
    </r>
  </si>
  <si>
    <r>
      <rPr>
        <b/>
        <sz val="10"/>
        <color rgb="FF003300"/>
        <rFont val="Arial"/>
        <family val="2"/>
      </rPr>
      <t xml:space="preserve">Internal Friction Angle, </t>
    </r>
    <r>
      <rPr>
        <b/>
        <sz val="10"/>
        <color rgb="FF003300"/>
        <rFont val="Symbol"/>
        <family val="1"/>
        <charset val="2"/>
      </rPr>
      <t>f</t>
    </r>
    <r>
      <rPr>
        <b/>
        <sz val="10"/>
        <color rgb="FF003300"/>
        <rFont val="Arial"/>
        <family val="2"/>
      </rPr>
      <t xml:space="preserve"> (deg)</t>
    </r>
  </si>
  <si>
    <r>
      <rPr>
        <b/>
        <sz val="10"/>
        <color rgb="FF003300"/>
        <rFont val="Arial"/>
        <family val="2"/>
      </rPr>
      <t xml:space="preserve">Friction Angle, </t>
    </r>
    <r>
      <rPr>
        <b/>
        <sz val="10"/>
        <color rgb="FF003300"/>
        <rFont val="Symbol"/>
        <family val="1"/>
        <charset val="2"/>
      </rPr>
      <t>f</t>
    </r>
    <r>
      <rPr>
        <b/>
        <vertAlign val="subscript"/>
        <sz val="10"/>
        <color rgb="FF003300"/>
        <rFont val="Arial"/>
        <family val="2"/>
      </rPr>
      <t>bank</t>
    </r>
    <r>
      <rPr>
        <b/>
        <sz val="10"/>
        <color rgb="FF003300"/>
        <rFont val="Arial"/>
        <family val="2"/>
      </rPr>
      <t xml:space="preserve"> (deg)</t>
    </r>
  </si>
  <si>
    <r>
      <t>Porosity, p</t>
    </r>
    <r>
      <rPr>
        <b/>
        <vertAlign val="subscript"/>
        <sz val="10"/>
        <color rgb="FF003300"/>
        <rFont val="Arial"/>
        <family val="2"/>
      </rPr>
      <t>o</t>
    </r>
    <r>
      <rPr>
        <b/>
        <sz val="10"/>
        <color rgb="FF003300"/>
        <rFont val="Arial"/>
        <family val="2"/>
      </rPr>
      <t xml:space="preserve"> e/(1+e)</t>
    </r>
  </si>
  <si>
    <r>
      <rPr>
        <b/>
        <sz val="10"/>
        <color rgb="FF003300"/>
        <rFont val="Arial"/>
        <family val="2"/>
      </rPr>
      <t>Buoyant Unit Weight</t>
    </r>
    <r>
      <rPr>
        <b/>
        <vertAlign val="superscript"/>
        <sz val="10"/>
        <color rgb="FFFF0000"/>
        <rFont val="Arial"/>
        <family val="2"/>
      </rPr>
      <t>4</t>
    </r>
    <r>
      <rPr>
        <b/>
        <sz val="10"/>
        <color rgb="FF003300"/>
        <rFont val="Arial"/>
        <family val="2"/>
      </rPr>
      <t xml:space="preserve">, </t>
    </r>
    <r>
      <rPr>
        <b/>
        <sz val="10"/>
        <color rgb="FF003300"/>
        <rFont val="Symbol"/>
        <family val="1"/>
        <charset val="2"/>
      </rPr>
      <t>g</t>
    </r>
    <r>
      <rPr>
        <b/>
        <sz val="10"/>
        <color rgb="FF003300"/>
        <rFont val="Arial"/>
        <family val="2"/>
      </rPr>
      <t>'</t>
    </r>
    <r>
      <rPr>
        <b/>
        <vertAlign val="subscript"/>
        <sz val="10"/>
        <color rgb="FF003300"/>
        <rFont val="Arial"/>
        <family val="2"/>
      </rPr>
      <t>bank</t>
    </r>
    <r>
      <rPr>
        <b/>
        <sz val="10"/>
        <color rgb="FF003300"/>
        <rFont val="Arial"/>
        <family val="2"/>
      </rPr>
      <t xml:space="preserve"> (lb/ft</t>
    </r>
    <r>
      <rPr>
        <b/>
        <vertAlign val="superscript"/>
        <sz val="10"/>
        <color rgb="FF003300"/>
        <rFont val="Arial"/>
        <family val="2"/>
      </rPr>
      <t>3</t>
    </r>
    <r>
      <rPr>
        <b/>
        <sz val="10"/>
        <color rgb="FF003300"/>
        <rFont val="Arial"/>
        <family val="2"/>
      </rPr>
      <t>)</t>
    </r>
  </si>
  <si>
    <r>
      <rPr>
        <b/>
        <sz val="10"/>
        <color rgb="FF003300"/>
        <rFont val="Arial"/>
        <family val="2"/>
      </rPr>
      <t>Saturated Unit Weight</t>
    </r>
    <r>
      <rPr>
        <b/>
        <vertAlign val="superscript"/>
        <sz val="10"/>
        <color rgb="FFFF0000"/>
        <rFont val="Arial"/>
        <family val="2"/>
      </rPr>
      <t>3</t>
    </r>
    <r>
      <rPr>
        <b/>
        <sz val="10"/>
        <color rgb="FF003300"/>
        <rFont val="Arial"/>
        <family val="2"/>
      </rPr>
      <t xml:space="preserve">, </t>
    </r>
    <r>
      <rPr>
        <b/>
        <sz val="10"/>
        <color rgb="FF003300"/>
        <rFont val="Symbol"/>
        <family val="1"/>
        <charset val="2"/>
      </rPr>
      <t>g</t>
    </r>
    <r>
      <rPr>
        <b/>
        <vertAlign val="subscript"/>
        <sz val="10"/>
        <color rgb="FF003300"/>
        <rFont val="Arial"/>
        <family val="2"/>
      </rPr>
      <t>bank,sat</t>
    </r>
    <r>
      <rPr>
        <b/>
        <sz val="10"/>
        <color rgb="FF003300"/>
        <rFont val="Arial"/>
        <family val="2"/>
      </rPr>
      <t xml:space="preserve"> (lb/ft</t>
    </r>
    <r>
      <rPr>
        <b/>
        <vertAlign val="superscript"/>
        <sz val="10"/>
        <color rgb="FF003300"/>
        <rFont val="Arial"/>
        <family val="2"/>
      </rPr>
      <t>3</t>
    </r>
    <r>
      <rPr>
        <b/>
        <sz val="10"/>
        <color rgb="FF003300"/>
        <rFont val="Arial"/>
        <family val="2"/>
      </rPr>
      <t>)</t>
    </r>
  </si>
  <si>
    <r>
      <t>Void ratio</t>
    </r>
    <r>
      <rPr>
        <b/>
        <vertAlign val="superscript"/>
        <sz val="10"/>
        <color rgb="FFFF0000"/>
        <rFont val="Arial"/>
        <family val="2"/>
      </rPr>
      <t>2</t>
    </r>
    <r>
      <rPr>
        <b/>
        <sz val="10"/>
        <color rgb="FF003300"/>
        <rFont val="Arial"/>
        <family val="2"/>
      </rPr>
      <t>, e (V</t>
    </r>
    <r>
      <rPr>
        <b/>
        <vertAlign val="subscript"/>
        <sz val="10"/>
        <color rgb="FF003300"/>
        <rFont val="Arial"/>
        <family val="2"/>
      </rPr>
      <t>v</t>
    </r>
    <r>
      <rPr>
        <b/>
        <sz val="10"/>
        <color rgb="FF003300"/>
        <rFont val="Arial"/>
        <family val="2"/>
      </rPr>
      <t>/V</t>
    </r>
    <r>
      <rPr>
        <b/>
        <vertAlign val="subscript"/>
        <sz val="10"/>
        <color rgb="FF003300"/>
        <rFont val="Arial"/>
        <family val="2"/>
      </rPr>
      <t>s</t>
    </r>
    <r>
      <rPr>
        <b/>
        <sz val="10"/>
        <color rgb="FF003300"/>
        <rFont val="Arial"/>
        <family val="2"/>
      </rPr>
      <t>)</t>
    </r>
  </si>
  <si>
    <r>
      <rPr>
        <b/>
        <vertAlign val="superscript"/>
        <sz val="10"/>
        <color rgb="FFFF0000"/>
        <rFont val="Arial"/>
        <family val="2"/>
      </rPr>
      <t>1</t>
    </r>
    <r>
      <rPr>
        <sz val="10"/>
        <rFont val="Arial"/>
        <family val="2"/>
      </rPr>
      <t xml:space="preserve"> Compiled from NRCS Table TS14E–2 Soil classification and Bowles (2001)</t>
    </r>
  </si>
  <si>
    <r>
      <rPr>
        <b/>
        <vertAlign val="superscript"/>
        <sz val="10"/>
        <color rgb="FFFF0000"/>
        <rFont val="Arial"/>
        <family val="2"/>
      </rPr>
      <t>4</t>
    </r>
    <r>
      <rPr>
        <sz val="10"/>
        <rFont val="Arial"/>
        <family val="2"/>
      </rPr>
      <t xml:space="preserve"> Effective Buoyant Unit Weight of soil, </t>
    </r>
    <r>
      <rPr>
        <sz val="10"/>
        <rFont val="Symbol"/>
        <family val="1"/>
        <charset val="2"/>
      </rPr>
      <t>g</t>
    </r>
    <r>
      <rPr>
        <sz val="10"/>
        <rFont val="Arial"/>
        <family val="2"/>
      </rPr>
      <t>'</t>
    </r>
    <r>
      <rPr>
        <vertAlign val="subscript"/>
        <sz val="10"/>
        <rFont val="Arial"/>
        <family val="2"/>
      </rPr>
      <t>bank</t>
    </r>
    <r>
      <rPr>
        <sz val="10"/>
        <rFont val="Arial"/>
        <family val="2"/>
      </rPr>
      <t xml:space="preserve"> = </t>
    </r>
    <r>
      <rPr>
        <sz val="10"/>
        <rFont val="Symbol"/>
        <family val="1"/>
        <charset val="2"/>
      </rPr>
      <t>g</t>
    </r>
    <r>
      <rPr>
        <vertAlign val="subscript"/>
        <sz val="10"/>
        <rFont val="Arial"/>
        <family val="2"/>
      </rPr>
      <t xml:space="preserve">bank,sat </t>
    </r>
    <r>
      <rPr>
        <sz val="10"/>
        <rFont val="Arial"/>
        <family val="2"/>
      </rPr>
      <t xml:space="preserve">- </t>
    </r>
    <r>
      <rPr>
        <sz val="10"/>
        <rFont val="Symbol"/>
        <family val="1"/>
        <charset val="2"/>
      </rPr>
      <t>g</t>
    </r>
    <r>
      <rPr>
        <vertAlign val="subscript"/>
        <sz val="10"/>
        <rFont val="Arial"/>
        <family val="2"/>
      </rPr>
      <t>w</t>
    </r>
  </si>
  <si>
    <r>
      <rPr>
        <b/>
        <vertAlign val="superscript"/>
        <sz val="10"/>
        <color rgb="FFFF0000"/>
        <rFont val="Arial"/>
        <family val="2"/>
      </rPr>
      <t>1</t>
    </r>
    <r>
      <rPr>
        <sz val="10"/>
        <rFont val="Arial"/>
        <family val="2"/>
      </rPr>
      <t xml:space="preserve"> Compiled from Julien (2010) and Shen and Julien (1993)</t>
    </r>
  </si>
  <si>
    <r>
      <t>Design Discharge, Q</t>
    </r>
    <r>
      <rPr>
        <b/>
        <vertAlign val="subscript"/>
        <sz val="10"/>
        <color rgb="FF003300"/>
        <rFont val="Arial"/>
        <family val="2"/>
      </rPr>
      <t>des</t>
    </r>
    <r>
      <rPr>
        <b/>
        <sz val="10"/>
        <color rgb="FF003300"/>
        <rFont val="Arial"/>
        <family val="2"/>
      </rPr>
      <t xml:space="preserve"> (cfs)</t>
    </r>
  </si>
  <si>
    <r>
      <t>Average Velocity, u</t>
    </r>
    <r>
      <rPr>
        <b/>
        <vertAlign val="subscript"/>
        <sz val="10"/>
        <color rgb="FF003300"/>
        <rFont val="Arial"/>
        <family val="2"/>
      </rPr>
      <t>avg</t>
    </r>
    <r>
      <rPr>
        <b/>
        <sz val="10"/>
        <color rgb="FF003300"/>
        <rFont val="Arial"/>
        <family val="2"/>
      </rPr>
      <t xml:space="preserve"> (ft/s)</t>
    </r>
  </si>
  <si>
    <r>
      <t>Bankfull Width, W</t>
    </r>
    <r>
      <rPr>
        <b/>
        <vertAlign val="subscript"/>
        <sz val="10"/>
        <color rgb="FF003300"/>
        <rFont val="Arial"/>
        <family val="2"/>
      </rPr>
      <t>BF</t>
    </r>
    <r>
      <rPr>
        <b/>
        <sz val="10"/>
        <color rgb="FF003300"/>
        <rFont val="Arial"/>
        <family val="2"/>
      </rPr>
      <t xml:space="preserve"> (ft)</t>
    </r>
  </si>
  <si>
    <r>
      <t>Wetted Area, A</t>
    </r>
    <r>
      <rPr>
        <b/>
        <vertAlign val="subscript"/>
        <sz val="10"/>
        <color rgb="FF003300"/>
        <rFont val="Arial"/>
        <family val="2"/>
      </rPr>
      <t>W</t>
    </r>
    <r>
      <rPr>
        <b/>
        <sz val="10"/>
        <color rgb="FF003300"/>
        <rFont val="Arial"/>
        <family val="2"/>
      </rPr>
      <t xml:space="preserve"> (ft</t>
    </r>
    <r>
      <rPr>
        <b/>
        <vertAlign val="superscript"/>
        <sz val="10"/>
        <color rgb="FF003300"/>
        <rFont val="Arial"/>
        <family val="2"/>
      </rPr>
      <t>2</t>
    </r>
    <r>
      <rPr>
        <b/>
        <sz val="10"/>
        <color rgb="FF003300"/>
        <rFont val="Arial"/>
        <family val="2"/>
      </rPr>
      <t>)</t>
    </r>
  </si>
  <si>
    <r>
      <t>Radius of Curvature, R</t>
    </r>
    <r>
      <rPr>
        <b/>
        <vertAlign val="subscript"/>
        <sz val="10"/>
        <color rgb="FF003300"/>
        <rFont val="Arial"/>
        <family val="2"/>
      </rPr>
      <t>c</t>
    </r>
    <r>
      <rPr>
        <b/>
        <sz val="10"/>
        <color rgb="FF003300"/>
        <rFont val="Arial"/>
        <family val="2"/>
      </rPr>
      <t xml:space="preserve"> (ft)</t>
    </r>
  </si>
  <si>
    <r>
      <t>Velocity at Outer Meander Bend</t>
    </r>
    <r>
      <rPr>
        <b/>
        <vertAlign val="superscript"/>
        <sz val="10"/>
        <color rgb="FFFF0000"/>
        <rFont val="Arial"/>
        <family val="2"/>
      </rPr>
      <t>1</t>
    </r>
    <r>
      <rPr>
        <b/>
        <sz val="10"/>
        <color rgb="FF003300"/>
        <rFont val="Arial"/>
        <family val="2"/>
      </rPr>
      <t>, u</t>
    </r>
    <r>
      <rPr>
        <b/>
        <vertAlign val="subscript"/>
        <sz val="10"/>
        <color rgb="FF003300"/>
        <rFont val="Arial"/>
        <family val="2"/>
      </rPr>
      <t>m</t>
    </r>
    <r>
      <rPr>
        <b/>
        <sz val="10"/>
        <color rgb="FF003300"/>
        <rFont val="Arial"/>
        <family val="2"/>
      </rPr>
      <t xml:space="preserve"> (ft/s)</t>
    </r>
  </si>
  <si>
    <r>
      <rPr>
        <b/>
        <vertAlign val="superscript"/>
        <sz val="10"/>
        <color rgb="FFFF0000"/>
        <rFont val="Arial"/>
        <family val="2"/>
      </rPr>
      <t>1</t>
    </r>
    <r>
      <rPr>
        <b/>
        <sz val="10"/>
        <rFont val="Arial"/>
        <family val="2"/>
      </rPr>
      <t xml:space="preserve"> Meander velocity, u</t>
    </r>
    <r>
      <rPr>
        <b/>
        <vertAlign val="subscript"/>
        <sz val="10"/>
        <rFont val="Arial"/>
        <family val="2"/>
      </rPr>
      <t>m</t>
    </r>
    <r>
      <rPr>
        <b/>
        <sz val="10"/>
        <rFont val="Arial"/>
        <family val="2"/>
      </rPr>
      <t xml:space="preserve"> = </t>
    </r>
  </si>
  <si>
    <t>Pseudotsuga menziesii var. menzi.</t>
  </si>
  <si>
    <t>Redwood, Coast (young)</t>
  </si>
  <si>
    <t>Redwood, Coast (Old)</t>
  </si>
  <si>
    <r>
      <t>Air-dried</t>
    </r>
    <r>
      <rPr>
        <b/>
        <vertAlign val="superscript"/>
        <sz val="10"/>
        <color rgb="FFFF0000"/>
        <rFont val="Arial"/>
        <family val="2"/>
      </rPr>
      <t>1</t>
    </r>
    <r>
      <rPr>
        <b/>
        <sz val="10"/>
        <color rgb="FF003300"/>
        <rFont val="Arial"/>
        <family val="2"/>
      </rPr>
      <t xml:space="preserve"> </t>
    </r>
    <r>
      <rPr>
        <b/>
        <sz val="10"/>
        <color rgb="FF003300"/>
        <rFont val="Symbol"/>
        <family val="1"/>
        <charset val="2"/>
      </rPr>
      <t>g</t>
    </r>
    <r>
      <rPr>
        <b/>
        <vertAlign val="subscript"/>
        <sz val="10"/>
        <color rgb="FF003300"/>
        <rFont val="Arial"/>
        <family val="2"/>
      </rPr>
      <t>Td</t>
    </r>
    <r>
      <rPr>
        <b/>
        <sz val="10"/>
        <color rgb="FF003300"/>
        <rFont val="Arial"/>
        <family val="2"/>
      </rPr>
      <t xml:space="preserve"> (lb/ft</t>
    </r>
    <r>
      <rPr>
        <b/>
        <vertAlign val="superscript"/>
        <sz val="10"/>
        <color rgb="FF003300"/>
        <rFont val="Arial"/>
        <family val="2"/>
      </rPr>
      <t>3</t>
    </r>
    <r>
      <rPr>
        <b/>
        <sz val="10"/>
        <color rgb="FF003300"/>
        <rFont val="Arial"/>
        <family val="2"/>
      </rPr>
      <t>)</t>
    </r>
  </si>
  <si>
    <r>
      <t>Green</t>
    </r>
    <r>
      <rPr>
        <b/>
        <vertAlign val="superscript"/>
        <sz val="10"/>
        <color rgb="FFFF0000"/>
        <rFont val="Arial"/>
        <family val="2"/>
      </rPr>
      <t>2</t>
    </r>
    <r>
      <rPr>
        <b/>
        <sz val="10"/>
        <color rgb="FF003300"/>
        <rFont val="Arial"/>
        <family val="2"/>
      </rPr>
      <t xml:space="preserve"> </t>
    </r>
    <r>
      <rPr>
        <b/>
        <sz val="10"/>
        <color rgb="FF003300"/>
        <rFont val="Symbol"/>
        <family val="1"/>
        <charset val="2"/>
      </rPr>
      <t>g</t>
    </r>
    <r>
      <rPr>
        <b/>
        <vertAlign val="subscript"/>
        <sz val="10"/>
        <color rgb="FF003300"/>
        <rFont val="Arial"/>
        <family val="2"/>
      </rPr>
      <t>Tgr</t>
    </r>
    <r>
      <rPr>
        <b/>
        <sz val="10"/>
        <color rgb="FF003300"/>
        <rFont val="Arial"/>
        <family val="2"/>
      </rPr>
      <t xml:space="preserve"> (lb/ft</t>
    </r>
    <r>
      <rPr>
        <b/>
        <vertAlign val="superscript"/>
        <sz val="10"/>
        <color rgb="FF003300"/>
        <rFont val="Arial"/>
        <family val="2"/>
      </rPr>
      <t>3</t>
    </r>
    <r>
      <rPr>
        <b/>
        <sz val="10"/>
        <color rgb="FF003300"/>
        <rFont val="Arial"/>
        <family val="2"/>
      </rPr>
      <t>)</t>
    </r>
  </si>
  <si>
    <t>Station</t>
  </si>
  <si>
    <t>ML</t>
  </si>
  <si>
    <t>Multi-log</t>
  </si>
  <si>
    <t>Typ</t>
  </si>
  <si>
    <t>Typical</t>
  </si>
  <si>
    <r>
      <t>g</t>
    </r>
    <r>
      <rPr>
        <b/>
        <vertAlign val="subscript"/>
        <sz val="10"/>
        <color rgb="FF003300"/>
        <rFont val="Arial"/>
        <family val="2"/>
      </rPr>
      <t>s</t>
    </r>
    <r>
      <rPr>
        <b/>
        <sz val="10"/>
        <color rgb="FF003300"/>
        <rFont val="Arial"/>
        <family val="2"/>
      </rPr>
      <t xml:space="preserve"> (lb/ft</t>
    </r>
    <r>
      <rPr>
        <b/>
        <vertAlign val="superscript"/>
        <sz val="10"/>
        <color rgb="FF003300"/>
        <rFont val="Arial"/>
        <family val="2"/>
      </rPr>
      <t>3</t>
    </r>
    <r>
      <rPr>
        <b/>
        <sz val="10"/>
        <color rgb="FF003300"/>
        <rFont val="Arial"/>
        <family val="2"/>
      </rPr>
      <t>)</t>
    </r>
    <r>
      <rPr>
        <vertAlign val="subscript"/>
        <sz val="10"/>
        <color indexed="10"/>
        <rFont val="Arial"/>
        <family val="2"/>
      </rPr>
      <t/>
    </r>
  </si>
  <si>
    <r>
      <t>g</t>
    </r>
    <r>
      <rPr>
        <b/>
        <sz val="10"/>
        <color rgb="FF003300"/>
        <rFont val="Arial"/>
        <family val="2"/>
      </rPr>
      <t>'</t>
    </r>
    <r>
      <rPr>
        <b/>
        <vertAlign val="subscript"/>
        <sz val="10"/>
        <color rgb="FF003300"/>
        <rFont val="Arial"/>
        <family val="2"/>
      </rPr>
      <t>s</t>
    </r>
    <r>
      <rPr>
        <b/>
        <sz val="10"/>
        <color rgb="FF003300"/>
        <rFont val="Arial"/>
        <family val="2"/>
      </rPr>
      <t xml:space="preserve"> (lb/ft</t>
    </r>
    <r>
      <rPr>
        <b/>
        <vertAlign val="superscript"/>
        <sz val="10"/>
        <color rgb="FF003300"/>
        <rFont val="Arial"/>
        <family val="2"/>
      </rPr>
      <t>3</t>
    </r>
    <r>
      <rPr>
        <b/>
        <sz val="10"/>
        <color rgb="FF003300"/>
        <rFont val="Arial"/>
        <family val="2"/>
      </rPr>
      <t>)</t>
    </r>
    <r>
      <rPr>
        <vertAlign val="subscript"/>
        <sz val="10"/>
        <color indexed="10"/>
        <rFont val="Arial"/>
        <family val="2"/>
      </rPr>
      <t/>
    </r>
  </si>
  <si>
    <t>Dry specific weight of soil</t>
  </si>
  <si>
    <t>Effective buoyant unit weight of soil</t>
  </si>
  <si>
    <t>x</t>
  </si>
  <si>
    <t>y</t>
  </si>
  <si>
    <t>Proposed</t>
  </si>
  <si>
    <t>x (ft)</t>
  </si>
  <si>
    <t>y (ft)</t>
  </si>
  <si>
    <t>Thalweg</t>
  </si>
  <si>
    <t>Toe LB</t>
  </si>
  <si>
    <t>Top LB</t>
  </si>
  <si>
    <t>Toe RB</t>
  </si>
  <si>
    <t>Top RB</t>
  </si>
  <si>
    <t>Fldpln RB</t>
  </si>
  <si>
    <t>Fldpln LB</t>
  </si>
  <si>
    <t>Fldpln</t>
  </si>
  <si>
    <t>Floodplain</t>
  </si>
  <si>
    <t>Meander</t>
  </si>
  <si>
    <t>Vertical coordinate (elevation)</t>
  </si>
  <si>
    <r>
      <t>Maximum Depth, d</t>
    </r>
    <r>
      <rPr>
        <b/>
        <vertAlign val="subscript"/>
        <sz val="10"/>
        <color rgb="FF003300"/>
        <rFont val="Arial"/>
        <family val="2"/>
      </rPr>
      <t>w</t>
    </r>
    <r>
      <rPr>
        <b/>
        <sz val="10"/>
        <color rgb="FF003300"/>
        <rFont val="Arial"/>
        <family val="2"/>
      </rPr>
      <t xml:space="preserve"> (ft)</t>
    </r>
  </si>
  <si>
    <r>
      <t>d</t>
    </r>
    <r>
      <rPr>
        <b/>
        <vertAlign val="subscript"/>
        <sz val="10"/>
        <color rgb="FF003300"/>
        <rFont val="Arial"/>
        <family val="2"/>
      </rPr>
      <t>w</t>
    </r>
    <r>
      <rPr>
        <b/>
        <sz val="10"/>
        <color rgb="FF003300"/>
        <rFont val="Arial"/>
        <family val="2"/>
      </rPr>
      <t xml:space="preserve"> (ft)</t>
    </r>
  </si>
  <si>
    <t>RW sid1</t>
  </si>
  <si>
    <t>RW sid2</t>
  </si>
  <si>
    <t>Water Surface</t>
  </si>
  <si>
    <r>
      <t>x</t>
    </r>
    <r>
      <rPr>
        <b/>
        <vertAlign val="subscript"/>
        <sz val="10"/>
        <color rgb="FF003300"/>
        <rFont val="Arial"/>
        <family val="2"/>
      </rPr>
      <t>T</t>
    </r>
    <r>
      <rPr>
        <b/>
        <sz val="10"/>
        <color rgb="FF003300"/>
        <rFont val="Arial"/>
        <family val="2"/>
      </rPr>
      <t xml:space="preserve"> (ft)</t>
    </r>
  </si>
  <si>
    <r>
      <t>y</t>
    </r>
    <r>
      <rPr>
        <b/>
        <vertAlign val="subscript"/>
        <sz val="10"/>
        <color rgb="FF003300"/>
        <rFont val="Arial"/>
        <family val="2"/>
      </rPr>
      <t>T</t>
    </r>
    <r>
      <rPr>
        <b/>
        <sz val="10"/>
        <color rgb="FF003300"/>
        <rFont val="Arial"/>
        <family val="2"/>
      </rPr>
      <t xml:space="preserve"> (ft)</t>
    </r>
  </si>
  <si>
    <t>WSE</t>
  </si>
  <si>
    <t>Bank Labels</t>
  </si>
  <si>
    <t>Water Surface Label</t>
  </si>
  <si>
    <t>Root collar: Bottom</t>
  </si>
  <si>
    <t>Root collar: Crown</t>
  </si>
  <si>
    <t>Rootwad: Crown</t>
  </si>
  <si>
    <t>Rootwad: Bottom</t>
  </si>
  <si>
    <t>Stem tip: Crown</t>
  </si>
  <si>
    <t>Stem tip: Bottom</t>
  </si>
  <si>
    <t>Large wood check</t>
  </si>
  <si>
    <t>Define Fixed Point</t>
  </si>
  <si>
    <t>Pt 1</t>
  </si>
  <si>
    <t>Pt 2</t>
  </si>
  <si>
    <t>Pt 3</t>
  </si>
  <si>
    <t>Pt 4</t>
  </si>
  <si>
    <t>Pt 5</t>
  </si>
  <si>
    <t>Pt 6</t>
  </si>
  <si>
    <t>RW sid5</t>
  </si>
  <si>
    <t>RW sid3</t>
  </si>
  <si>
    <t>RW sid4</t>
  </si>
  <si>
    <t>RW sid6</t>
  </si>
  <si>
    <t>RW crown</t>
  </si>
  <si>
    <t>RW bottom2</t>
  </si>
  <si>
    <t>RW bottom1</t>
  </si>
  <si>
    <t>Wood</t>
  </si>
  <si>
    <r>
      <t>d</t>
    </r>
    <r>
      <rPr>
        <b/>
        <vertAlign val="subscript"/>
        <sz val="10"/>
        <color theme="0" tint="-0.499984740745262"/>
        <rFont val="Arial"/>
        <family val="2"/>
      </rPr>
      <t>T,wet</t>
    </r>
  </si>
  <si>
    <t>Length of tree stem (not including rootwad)</t>
  </si>
  <si>
    <t>V =</t>
  </si>
  <si>
    <t>Case 1</t>
  </si>
  <si>
    <t>Case 2</t>
  </si>
  <si>
    <t>Radius</t>
  </si>
  <si>
    <t>rad</t>
  </si>
  <si>
    <t>http://planetcalc.com/1442/</t>
  </si>
  <si>
    <t>where:</t>
  </si>
  <si>
    <t>Radians</t>
  </si>
  <si>
    <t>R</t>
  </si>
  <si>
    <t>Case 3</t>
  </si>
  <si>
    <t>Case 4</t>
  </si>
  <si>
    <r>
      <t>V</t>
    </r>
    <r>
      <rPr>
        <vertAlign val="subscript"/>
        <sz val="10"/>
        <color theme="0" tint="-0.499984740745262"/>
        <rFont val="Arial"/>
        <family val="2"/>
      </rPr>
      <t>TS</t>
    </r>
    <r>
      <rPr>
        <sz val="10"/>
        <color theme="0" tint="-0.499984740745262"/>
        <rFont val="Arial"/>
        <family val="2"/>
      </rPr>
      <t xml:space="preserve"> =</t>
    </r>
  </si>
  <si>
    <r>
      <t>K</t>
    </r>
    <r>
      <rPr>
        <vertAlign val="subscript"/>
        <sz val="10"/>
        <color theme="0" tint="-0.499984740745262"/>
        <rFont val="Arial"/>
        <family val="2"/>
      </rPr>
      <t>1</t>
    </r>
    <r>
      <rPr>
        <sz val="10"/>
        <color theme="0" tint="-0.499984740745262"/>
        <rFont val="Arial"/>
        <family val="2"/>
      </rPr>
      <t xml:space="preserve"> = arccos(1-h</t>
    </r>
    <r>
      <rPr>
        <vertAlign val="subscript"/>
        <sz val="10"/>
        <color theme="0" tint="-0.499984740745262"/>
        <rFont val="Arial"/>
        <family val="2"/>
      </rPr>
      <t>max,lower</t>
    </r>
    <r>
      <rPr>
        <sz val="10"/>
        <color theme="0" tint="-0.499984740745262"/>
        <rFont val="Arial"/>
        <family val="2"/>
      </rPr>
      <t>/R)</t>
    </r>
  </si>
  <si>
    <r>
      <t>V</t>
    </r>
    <r>
      <rPr>
        <b/>
        <vertAlign val="subscript"/>
        <sz val="10"/>
        <color theme="0" tint="-0.499984740745262"/>
        <rFont val="Arial"/>
        <family val="2"/>
      </rPr>
      <t>TS,wet,C1</t>
    </r>
  </si>
  <si>
    <r>
      <t>V</t>
    </r>
    <r>
      <rPr>
        <b/>
        <vertAlign val="subscript"/>
        <sz val="10"/>
        <color theme="0" tint="-0.499984740745262"/>
        <rFont val="Arial"/>
        <family val="2"/>
      </rPr>
      <t>TS,wet,C2</t>
    </r>
  </si>
  <si>
    <r>
      <t>V</t>
    </r>
    <r>
      <rPr>
        <b/>
        <vertAlign val="subscript"/>
        <sz val="10"/>
        <color theme="0" tint="-0.499984740745262"/>
        <rFont val="Arial"/>
        <family val="2"/>
      </rPr>
      <t>TS,wet,C3</t>
    </r>
  </si>
  <si>
    <r>
      <t>V</t>
    </r>
    <r>
      <rPr>
        <vertAlign val="subscript"/>
        <sz val="10"/>
        <color theme="0" tint="-0.499984740745262"/>
        <rFont val="Arial"/>
        <family val="2"/>
      </rPr>
      <t>TS</t>
    </r>
    <r>
      <rPr>
        <sz val="10"/>
        <color theme="0" tint="-0.499984740745262"/>
        <rFont val="Arial"/>
        <family val="2"/>
      </rPr>
      <t xml:space="preserve"> - (L</t>
    </r>
    <r>
      <rPr>
        <vertAlign val="subscript"/>
        <sz val="10"/>
        <color theme="0" tint="-0.499984740745262"/>
        <rFont val="Arial"/>
        <family val="2"/>
      </rPr>
      <t>TS,wet</t>
    </r>
    <r>
      <rPr>
        <sz val="10"/>
        <color theme="0" tint="-0.499984740745262"/>
        <rFont val="Arial"/>
        <family val="2"/>
      </rPr>
      <t>/h</t>
    </r>
    <r>
      <rPr>
        <vertAlign val="subscript"/>
        <sz val="10"/>
        <color theme="0" tint="-0.499984740745262"/>
        <rFont val="Arial"/>
        <family val="2"/>
      </rPr>
      <t>max,up,dry</t>
    </r>
    <r>
      <rPr>
        <sz val="10"/>
        <color theme="0" tint="-0.499984740745262"/>
        <rFont val="Arial"/>
        <family val="2"/>
      </rPr>
      <t>*R</t>
    </r>
    <r>
      <rPr>
        <vertAlign val="superscript"/>
        <sz val="10"/>
        <color theme="0" tint="-0.499984740745262"/>
        <rFont val="Arial"/>
        <family val="2"/>
      </rPr>
      <t>3</t>
    </r>
    <r>
      <rPr>
        <sz val="10"/>
        <color theme="0" tint="-0.499984740745262"/>
        <rFont val="Arial"/>
        <family val="2"/>
      </rPr>
      <t>*(sin K</t>
    </r>
    <r>
      <rPr>
        <vertAlign val="subscript"/>
        <sz val="10"/>
        <color theme="0" tint="-0.499984740745262"/>
        <rFont val="Arial"/>
        <family val="2"/>
      </rPr>
      <t>2</t>
    </r>
    <r>
      <rPr>
        <sz val="10"/>
        <color theme="0" tint="-0.499984740745262"/>
        <rFont val="Arial"/>
        <family val="2"/>
      </rPr>
      <t xml:space="preserve"> – K</t>
    </r>
    <r>
      <rPr>
        <vertAlign val="subscript"/>
        <sz val="10"/>
        <color theme="0" tint="-0.499984740745262"/>
        <rFont val="Arial"/>
        <family val="2"/>
      </rPr>
      <t>2</t>
    </r>
    <r>
      <rPr>
        <sz val="10"/>
        <color theme="0" tint="-0.499984740745262"/>
        <rFont val="Arial"/>
        <family val="2"/>
      </rPr>
      <t>*cos K</t>
    </r>
    <r>
      <rPr>
        <vertAlign val="subscript"/>
        <sz val="10"/>
        <color theme="0" tint="-0.499984740745262"/>
        <rFont val="Arial"/>
        <family val="2"/>
      </rPr>
      <t>2</t>
    </r>
    <r>
      <rPr>
        <sz val="10"/>
        <color theme="0" tint="-0.499984740745262"/>
        <rFont val="Arial"/>
        <family val="2"/>
      </rPr>
      <t xml:space="preserve"> – 1/3*(sin K</t>
    </r>
    <r>
      <rPr>
        <vertAlign val="subscript"/>
        <sz val="10"/>
        <color theme="0" tint="-0.499984740745262"/>
        <rFont val="Arial"/>
        <family val="2"/>
      </rPr>
      <t>2</t>
    </r>
    <r>
      <rPr>
        <sz val="10"/>
        <color theme="0" tint="-0.499984740745262"/>
        <rFont val="Arial"/>
        <family val="2"/>
      </rPr>
      <t>)</t>
    </r>
    <r>
      <rPr>
        <vertAlign val="superscript"/>
        <sz val="10"/>
        <color theme="0" tint="-0.499984740745262"/>
        <rFont val="Arial"/>
        <family val="2"/>
      </rPr>
      <t>3</t>
    </r>
    <r>
      <rPr>
        <sz val="10"/>
        <color theme="0" tint="-0.499984740745262"/>
        <rFont val="Arial"/>
        <family val="2"/>
      </rPr>
      <t>)</t>
    </r>
  </si>
  <si>
    <r>
      <t>K</t>
    </r>
    <r>
      <rPr>
        <vertAlign val="subscript"/>
        <sz val="10"/>
        <color theme="0" tint="-0.499984740745262"/>
        <rFont val="Arial"/>
        <family val="2"/>
      </rPr>
      <t>2</t>
    </r>
    <r>
      <rPr>
        <sz val="10"/>
        <color theme="0" tint="-0.499984740745262"/>
        <rFont val="Arial"/>
        <family val="2"/>
      </rPr>
      <t xml:space="preserve"> = arccos(1-h</t>
    </r>
    <r>
      <rPr>
        <vertAlign val="subscript"/>
        <sz val="10"/>
        <color theme="0" tint="-0.499984740745262"/>
        <rFont val="Arial"/>
        <family val="2"/>
      </rPr>
      <t>max,up,dry</t>
    </r>
    <r>
      <rPr>
        <sz val="10"/>
        <color theme="0" tint="-0.499984740745262"/>
        <rFont val="Arial"/>
        <family val="2"/>
      </rPr>
      <t>/R)</t>
    </r>
  </si>
  <si>
    <r>
      <t>V</t>
    </r>
    <r>
      <rPr>
        <b/>
        <vertAlign val="subscript"/>
        <sz val="10"/>
        <color theme="0" tint="-0.499984740745262"/>
        <rFont val="Arial"/>
        <family val="2"/>
      </rPr>
      <t>TS,wet,C4</t>
    </r>
  </si>
  <si>
    <t>Free internet tilted cylinder calculator:</t>
  </si>
  <si>
    <r>
      <t>R = D</t>
    </r>
    <r>
      <rPr>
        <vertAlign val="subscript"/>
        <sz val="10"/>
        <color theme="0" tint="-0.499984740745262"/>
        <rFont val="Arial"/>
        <family val="2"/>
      </rPr>
      <t>TS</t>
    </r>
    <r>
      <rPr>
        <sz val="10"/>
        <color theme="0" tint="-0.499984740745262"/>
        <rFont val="Arial"/>
        <family val="2"/>
      </rPr>
      <t>/2</t>
    </r>
  </si>
  <si>
    <r>
      <t>b</t>
    </r>
    <r>
      <rPr>
        <sz val="10"/>
        <color theme="0" tint="-0.499984740745262"/>
        <rFont val="Arial"/>
        <family val="2"/>
      </rPr>
      <t xml:space="preserve"> (rad)</t>
    </r>
  </si>
  <si>
    <r>
      <t>h</t>
    </r>
    <r>
      <rPr>
        <vertAlign val="subscript"/>
        <sz val="10"/>
        <color theme="0" tint="-0.499984740745262"/>
        <rFont val="Arial"/>
        <family val="2"/>
      </rPr>
      <t>max,lower</t>
    </r>
  </si>
  <si>
    <r>
      <t>h</t>
    </r>
    <r>
      <rPr>
        <vertAlign val="subscript"/>
        <sz val="10"/>
        <color theme="0" tint="-0.499984740745262"/>
        <rFont val="Arial"/>
        <family val="2"/>
      </rPr>
      <t>max,up,dry</t>
    </r>
  </si>
  <si>
    <r>
      <t>K</t>
    </r>
    <r>
      <rPr>
        <vertAlign val="subscript"/>
        <sz val="10"/>
        <color theme="0" tint="-0.499984740745262"/>
        <rFont val="Arial"/>
        <family val="2"/>
      </rPr>
      <t>1</t>
    </r>
  </si>
  <si>
    <r>
      <t>K</t>
    </r>
    <r>
      <rPr>
        <vertAlign val="subscript"/>
        <sz val="10"/>
        <color theme="0" tint="-0.499984740745262"/>
        <rFont val="Arial"/>
        <family val="2"/>
      </rPr>
      <t>2</t>
    </r>
    <r>
      <rPr>
        <sz val="11"/>
        <color theme="1"/>
        <rFont val="Calibri"/>
        <family val="2"/>
        <scheme val="minor"/>
      </rPr>
      <t/>
    </r>
  </si>
  <si>
    <r>
      <t>ft</t>
    </r>
    <r>
      <rPr>
        <vertAlign val="superscript"/>
        <sz val="10"/>
        <color theme="0" tint="-0.499984740745262"/>
        <rFont val="Arial"/>
        <family val="2"/>
      </rPr>
      <t>3</t>
    </r>
  </si>
  <si>
    <t>D/S</t>
  </si>
  <si>
    <t>Downstream</t>
  </si>
  <si>
    <t>Large Wood Centerline</t>
  </si>
  <si>
    <t>Root collar</t>
  </si>
  <si>
    <t>Stem tip</t>
  </si>
  <si>
    <t>Soil</t>
  </si>
  <si>
    <r>
      <t>V</t>
    </r>
    <r>
      <rPr>
        <b/>
        <vertAlign val="subscript"/>
        <sz val="10"/>
        <color rgb="FF003300"/>
        <rFont val="Arial"/>
        <family val="2"/>
      </rPr>
      <t>soil</t>
    </r>
    <r>
      <rPr>
        <b/>
        <sz val="10"/>
        <color rgb="FF003300"/>
        <rFont val="Arial"/>
        <family val="2"/>
      </rPr>
      <t xml:space="preserve"> (ft</t>
    </r>
    <r>
      <rPr>
        <b/>
        <vertAlign val="superscript"/>
        <sz val="10"/>
        <color rgb="FF003300"/>
        <rFont val="Arial"/>
        <family val="2"/>
      </rPr>
      <t>3</t>
    </r>
    <r>
      <rPr>
        <b/>
        <sz val="10"/>
        <color rgb="FF003300"/>
        <rFont val="Arial"/>
        <family val="2"/>
      </rPr>
      <t>)</t>
    </r>
  </si>
  <si>
    <t>Bed</t>
  </si>
  <si>
    <t>A =</t>
  </si>
  <si>
    <r>
      <t>a*b*((</t>
    </r>
    <r>
      <rPr>
        <sz val="10"/>
        <color theme="0" tint="-0.499984740745262"/>
        <rFont val="Symbol"/>
        <family val="1"/>
        <charset val="2"/>
      </rPr>
      <t>p</t>
    </r>
    <r>
      <rPr>
        <sz val="10"/>
        <color theme="0" tint="-0.499984740745262"/>
        <rFont val="Arial"/>
        <family val="2"/>
      </rPr>
      <t>/2)+arcsin(d/a)) + (b*d*(sqrt(a</t>
    </r>
    <r>
      <rPr>
        <vertAlign val="superscript"/>
        <sz val="10"/>
        <color theme="0" tint="-0.499984740745262"/>
        <rFont val="Arial"/>
        <family val="2"/>
      </rPr>
      <t>2</t>
    </r>
    <r>
      <rPr>
        <sz val="10"/>
        <color theme="0" tint="-0.499984740745262"/>
        <rFont val="Arial"/>
        <family val="2"/>
      </rPr>
      <t>-d</t>
    </r>
    <r>
      <rPr>
        <vertAlign val="superscript"/>
        <sz val="10"/>
        <color theme="0" tint="-0.499984740745262"/>
        <rFont val="Arial"/>
        <family val="2"/>
      </rPr>
      <t>2</t>
    </r>
    <r>
      <rPr>
        <sz val="10"/>
        <color theme="0" tint="-0.499984740745262"/>
        <rFont val="Arial"/>
        <family val="2"/>
      </rPr>
      <t>))/a)</t>
    </r>
  </si>
  <si>
    <r>
      <t>ft</t>
    </r>
    <r>
      <rPr>
        <vertAlign val="superscript"/>
        <sz val="10"/>
        <color theme="0" tint="-0.499984740745262"/>
        <rFont val="Arial"/>
        <family val="2"/>
      </rPr>
      <t>2</t>
    </r>
  </si>
  <si>
    <t>Exposed length of tree stem</t>
  </si>
  <si>
    <r>
      <t>DF</t>
    </r>
    <r>
      <rPr>
        <vertAlign val="subscript"/>
        <sz val="10"/>
        <rFont val="Arial"/>
        <family val="2"/>
      </rPr>
      <t>RW</t>
    </r>
  </si>
  <si>
    <r>
      <t>LF</t>
    </r>
    <r>
      <rPr>
        <vertAlign val="subscript"/>
        <sz val="10"/>
        <rFont val="Arial"/>
        <family val="2"/>
      </rPr>
      <t>RW</t>
    </r>
  </si>
  <si>
    <t>Notation and List of Symbols</t>
  </si>
  <si>
    <r>
      <t>Diameter factor for rootwad (DF</t>
    </r>
    <r>
      <rPr>
        <vertAlign val="subscript"/>
        <sz val="10"/>
        <rFont val="Arial"/>
        <family val="2"/>
      </rPr>
      <t>RW</t>
    </r>
    <r>
      <rPr>
        <sz val="10"/>
        <rFont val="Arial"/>
        <family val="2"/>
      </rPr>
      <t xml:space="preserve"> = D</t>
    </r>
    <r>
      <rPr>
        <vertAlign val="subscript"/>
        <sz val="10"/>
        <rFont val="Arial"/>
        <family val="2"/>
      </rPr>
      <t>RW</t>
    </r>
    <r>
      <rPr>
        <sz val="10"/>
        <rFont val="Arial"/>
        <family val="2"/>
      </rPr>
      <t>/D</t>
    </r>
    <r>
      <rPr>
        <vertAlign val="subscript"/>
        <sz val="10"/>
        <rFont val="Arial"/>
        <family val="2"/>
      </rPr>
      <t>TS</t>
    </r>
    <r>
      <rPr>
        <sz val="10"/>
        <rFont val="Arial"/>
        <family val="2"/>
      </rPr>
      <t>)</t>
    </r>
  </si>
  <si>
    <r>
      <t>Length factor for rootwad (LF</t>
    </r>
    <r>
      <rPr>
        <vertAlign val="subscript"/>
        <sz val="10"/>
        <rFont val="Arial"/>
        <family val="2"/>
      </rPr>
      <t>RW</t>
    </r>
    <r>
      <rPr>
        <sz val="10"/>
        <rFont val="Arial"/>
        <family val="2"/>
      </rPr>
      <t xml:space="preserve"> = L</t>
    </r>
    <r>
      <rPr>
        <vertAlign val="subscript"/>
        <sz val="10"/>
        <rFont val="Arial"/>
        <family val="2"/>
      </rPr>
      <t>RW</t>
    </r>
    <r>
      <rPr>
        <sz val="10"/>
        <rFont val="Arial"/>
        <family val="2"/>
      </rPr>
      <t>/D</t>
    </r>
    <r>
      <rPr>
        <vertAlign val="subscript"/>
        <sz val="10"/>
        <rFont val="Arial"/>
        <family val="2"/>
      </rPr>
      <t>TS</t>
    </r>
    <r>
      <rPr>
        <sz val="10"/>
        <rFont val="Arial"/>
        <family val="2"/>
      </rPr>
      <t>)</t>
    </r>
  </si>
  <si>
    <r>
      <t>L</t>
    </r>
    <r>
      <rPr>
        <vertAlign val="subscript"/>
        <sz val="10"/>
        <color theme="0" tint="-0.499984740745262"/>
        <rFont val="Arial"/>
        <family val="2"/>
      </rPr>
      <t>TS,bot,wet</t>
    </r>
  </si>
  <si>
    <r>
      <t>d</t>
    </r>
    <r>
      <rPr>
        <vertAlign val="subscript"/>
        <sz val="10"/>
        <color theme="0" tint="-0.499984740745262"/>
        <rFont val="Arial"/>
        <family val="2"/>
      </rPr>
      <t>wet,max</t>
    </r>
  </si>
  <si>
    <r>
      <t>L</t>
    </r>
    <r>
      <rPr>
        <vertAlign val="subscript"/>
        <sz val="10"/>
        <color theme="0" tint="-0.499984740745262"/>
        <rFont val="Arial"/>
        <family val="2"/>
      </rPr>
      <t>TS</t>
    </r>
    <r>
      <rPr>
        <sz val="10"/>
        <color theme="0" tint="-0.499984740745262"/>
        <rFont val="Arial"/>
        <family val="2"/>
      </rPr>
      <t>*(R</t>
    </r>
    <r>
      <rPr>
        <vertAlign val="superscript"/>
        <sz val="10"/>
        <color theme="0" tint="-0.499984740745262"/>
        <rFont val="Arial"/>
        <family val="2"/>
      </rPr>
      <t>2</t>
    </r>
    <r>
      <rPr>
        <sz val="10"/>
        <color theme="0" tint="-0.499984740745262"/>
        <rFont val="Arial"/>
        <family val="2"/>
      </rPr>
      <t>*arccos((R-d</t>
    </r>
    <r>
      <rPr>
        <vertAlign val="subscript"/>
        <sz val="10"/>
        <color theme="0" tint="-0.499984740745262"/>
        <rFont val="Arial"/>
        <family val="2"/>
      </rPr>
      <t>wet,avgH</t>
    </r>
    <r>
      <rPr>
        <sz val="10"/>
        <color theme="0" tint="-0.499984740745262"/>
        <rFont val="Arial"/>
        <family val="2"/>
      </rPr>
      <t>)/R)-(R-d</t>
    </r>
    <r>
      <rPr>
        <vertAlign val="subscript"/>
        <sz val="10"/>
        <color theme="0" tint="-0.499984740745262"/>
        <rFont val="Arial"/>
        <family val="2"/>
      </rPr>
      <t>wet,avgH</t>
    </r>
    <r>
      <rPr>
        <sz val="10"/>
        <color theme="0" tint="-0.499984740745262"/>
        <rFont val="Arial"/>
        <family val="2"/>
      </rPr>
      <t>)*((2*R*d</t>
    </r>
    <r>
      <rPr>
        <vertAlign val="subscript"/>
        <sz val="10"/>
        <color theme="0" tint="-0.499984740745262"/>
        <rFont val="Arial"/>
        <family val="2"/>
      </rPr>
      <t>wet,avgH</t>
    </r>
    <r>
      <rPr>
        <sz val="10"/>
        <color theme="0" tint="-0.499984740745262"/>
        <rFont val="Arial"/>
        <family val="2"/>
      </rPr>
      <t>)-d</t>
    </r>
    <r>
      <rPr>
        <vertAlign val="subscript"/>
        <sz val="10"/>
        <color theme="0" tint="-0.499984740745262"/>
        <rFont val="Arial"/>
        <family val="2"/>
      </rPr>
      <t>wet,avgH</t>
    </r>
    <r>
      <rPr>
        <vertAlign val="superscript"/>
        <sz val="10"/>
        <color theme="0" tint="-0.499984740745262"/>
        <rFont val="Arial"/>
        <family val="2"/>
      </rPr>
      <t>2</t>
    </r>
    <r>
      <rPr>
        <sz val="10"/>
        <color theme="0" tint="-0.499984740745262"/>
        <rFont val="Arial"/>
        <family val="2"/>
      </rPr>
      <t>)</t>
    </r>
    <r>
      <rPr>
        <vertAlign val="superscript"/>
        <sz val="10"/>
        <color theme="0" tint="-0.499984740745262"/>
        <rFont val="Arial"/>
        <family val="2"/>
      </rPr>
      <t>0.5</t>
    </r>
    <r>
      <rPr>
        <sz val="10"/>
        <color theme="0" tint="-0.499984740745262"/>
        <rFont val="Arial"/>
        <family val="2"/>
      </rPr>
      <t>)</t>
    </r>
  </si>
  <si>
    <r>
      <t>d</t>
    </r>
    <r>
      <rPr>
        <vertAlign val="subscript"/>
        <sz val="10"/>
        <color theme="0" tint="-0.499984740745262"/>
        <rFont val="Arial"/>
        <family val="2"/>
      </rPr>
      <t>wet,avgH</t>
    </r>
  </si>
  <si>
    <r>
      <t>L</t>
    </r>
    <r>
      <rPr>
        <vertAlign val="subscript"/>
        <sz val="10"/>
        <color theme="0" tint="-0.499984740745262"/>
        <rFont val="Arial"/>
        <family val="2"/>
      </rPr>
      <t>TS,bot,wet</t>
    </r>
    <r>
      <rPr>
        <sz val="10"/>
        <color theme="0" tint="-0.499984740745262"/>
        <rFont val="Arial"/>
        <family val="2"/>
      </rPr>
      <t>/h</t>
    </r>
    <r>
      <rPr>
        <vertAlign val="subscript"/>
        <sz val="10"/>
        <color theme="0" tint="-0.499984740745262"/>
        <rFont val="Arial"/>
        <family val="2"/>
      </rPr>
      <t>max,lower</t>
    </r>
    <r>
      <rPr>
        <sz val="10"/>
        <color theme="0" tint="-0.499984740745262"/>
        <rFont val="Arial"/>
        <family val="2"/>
      </rPr>
      <t>*R</t>
    </r>
    <r>
      <rPr>
        <vertAlign val="superscript"/>
        <sz val="10"/>
        <color theme="0" tint="-0.499984740745262"/>
        <rFont val="Arial"/>
        <family val="2"/>
      </rPr>
      <t>3</t>
    </r>
    <r>
      <rPr>
        <sz val="10"/>
        <color theme="0" tint="-0.499984740745262"/>
        <rFont val="Arial"/>
        <family val="2"/>
      </rPr>
      <t>*(sin K</t>
    </r>
    <r>
      <rPr>
        <vertAlign val="subscript"/>
        <sz val="10"/>
        <color theme="0" tint="-0.499984740745262"/>
        <rFont val="Arial"/>
        <family val="2"/>
      </rPr>
      <t>1</t>
    </r>
    <r>
      <rPr>
        <sz val="10"/>
        <color theme="0" tint="-0.499984740745262"/>
        <rFont val="Arial"/>
        <family val="2"/>
      </rPr>
      <t xml:space="preserve"> – K</t>
    </r>
    <r>
      <rPr>
        <vertAlign val="subscript"/>
        <sz val="10"/>
        <color theme="0" tint="-0.499984740745262"/>
        <rFont val="Arial"/>
        <family val="2"/>
      </rPr>
      <t>1</t>
    </r>
    <r>
      <rPr>
        <sz val="10"/>
        <color theme="0" tint="-0.499984740745262"/>
        <rFont val="Arial"/>
        <family val="2"/>
      </rPr>
      <t>*cos K</t>
    </r>
    <r>
      <rPr>
        <vertAlign val="subscript"/>
        <sz val="10"/>
        <color theme="0" tint="-0.499984740745262"/>
        <rFont val="Arial"/>
        <family val="2"/>
      </rPr>
      <t>1</t>
    </r>
    <r>
      <rPr>
        <sz val="10"/>
        <color theme="0" tint="-0.499984740745262"/>
        <rFont val="Arial"/>
        <family val="2"/>
      </rPr>
      <t xml:space="preserve"> – 1/3*(sin K</t>
    </r>
    <r>
      <rPr>
        <vertAlign val="subscript"/>
        <sz val="10"/>
        <color theme="0" tint="-0.499984740745262"/>
        <rFont val="Arial"/>
        <family val="2"/>
      </rPr>
      <t>1</t>
    </r>
    <r>
      <rPr>
        <sz val="10"/>
        <color theme="0" tint="-0.499984740745262"/>
        <rFont val="Arial"/>
        <family val="2"/>
      </rPr>
      <t>)</t>
    </r>
    <r>
      <rPr>
        <vertAlign val="superscript"/>
        <sz val="10"/>
        <color theme="0" tint="-0.499984740745262"/>
        <rFont val="Arial"/>
        <family val="2"/>
      </rPr>
      <t>3</t>
    </r>
    <r>
      <rPr>
        <sz val="10"/>
        <color theme="0" tint="-0.499984740745262"/>
        <rFont val="Arial"/>
        <family val="2"/>
      </rPr>
      <t>)</t>
    </r>
  </si>
  <si>
    <r>
      <t>L</t>
    </r>
    <r>
      <rPr>
        <vertAlign val="subscript"/>
        <sz val="10"/>
        <color theme="0" tint="-0.499984740745262"/>
        <rFont val="Arial"/>
        <family val="2"/>
      </rPr>
      <t>TS,top,wet</t>
    </r>
  </si>
  <si>
    <r>
      <t>(</t>
    </r>
    <r>
      <rPr>
        <sz val="10"/>
        <color theme="0" tint="-0.499984740745262"/>
        <rFont val="Symbol"/>
        <family val="1"/>
        <charset val="2"/>
      </rPr>
      <t>p</t>
    </r>
    <r>
      <rPr>
        <sz val="10"/>
        <color theme="0" tint="-0.499984740745262"/>
        <rFont val="Arial"/>
        <family val="2"/>
      </rPr>
      <t>*R</t>
    </r>
    <r>
      <rPr>
        <vertAlign val="superscript"/>
        <sz val="10"/>
        <color theme="0" tint="-0.499984740745262"/>
        <rFont val="Arial"/>
        <family val="2"/>
      </rPr>
      <t>2</t>
    </r>
    <r>
      <rPr>
        <sz val="10"/>
        <color theme="0" tint="-0.499984740745262"/>
        <rFont val="Arial"/>
        <family val="2"/>
      </rPr>
      <t>*L</t>
    </r>
    <r>
      <rPr>
        <vertAlign val="subscript"/>
        <sz val="10"/>
        <color theme="0" tint="-0.499984740745262"/>
        <rFont val="Arial"/>
        <family val="2"/>
      </rPr>
      <t>TS,top,wet</t>
    </r>
    <r>
      <rPr>
        <sz val="10"/>
        <color theme="0" tint="-0.499984740745262"/>
        <rFont val="Arial"/>
        <family val="2"/>
      </rPr>
      <t>) + (L</t>
    </r>
    <r>
      <rPr>
        <vertAlign val="subscript"/>
        <sz val="10"/>
        <color theme="0" tint="-0.499984740745262"/>
        <rFont val="Arial"/>
        <family val="2"/>
      </rPr>
      <t>TS,bot,wet</t>
    </r>
    <r>
      <rPr>
        <sz val="10"/>
        <color theme="0" tint="-0.499984740745262"/>
        <rFont val="Arial"/>
        <family val="2"/>
      </rPr>
      <t>/h</t>
    </r>
    <r>
      <rPr>
        <vertAlign val="subscript"/>
        <sz val="10"/>
        <color theme="0" tint="-0.499984740745262"/>
        <rFont val="Arial"/>
        <family val="2"/>
      </rPr>
      <t>max,lower</t>
    </r>
    <r>
      <rPr>
        <sz val="10"/>
        <color theme="0" tint="-0.499984740745262"/>
        <rFont val="Arial"/>
        <family val="2"/>
      </rPr>
      <t>*R</t>
    </r>
    <r>
      <rPr>
        <vertAlign val="superscript"/>
        <sz val="10"/>
        <color theme="0" tint="-0.499984740745262"/>
        <rFont val="Arial"/>
        <family val="2"/>
      </rPr>
      <t>3</t>
    </r>
    <r>
      <rPr>
        <sz val="10"/>
        <color theme="0" tint="-0.499984740745262"/>
        <rFont val="Arial"/>
        <family val="2"/>
      </rPr>
      <t>*(sin K</t>
    </r>
    <r>
      <rPr>
        <vertAlign val="subscript"/>
        <sz val="10"/>
        <color theme="0" tint="-0.499984740745262"/>
        <rFont val="Arial"/>
        <family val="2"/>
      </rPr>
      <t>1</t>
    </r>
    <r>
      <rPr>
        <sz val="10"/>
        <color theme="0" tint="-0.499984740745262"/>
        <rFont val="Arial"/>
        <family val="2"/>
      </rPr>
      <t xml:space="preserve"> – K</t>
    </r>
    <r>
      <rPr>
        <vertAlign val="subscript"/>
        <sz val="10"/>
        <color theme="0" tint="-0.499984740745262"/>
        <rFont val="Arial"/>
        <family val="2"/>
      </rPr>
      <t>1</t>
    </r>
    <r>
      <rPr>
        <sz val="10"/>
        <color theme="0" tint="-0.499984740745262"/>
        <rFont val="Arial"/>
        <family val="2"/>
      </rPr>
      <t>*cos K</t>
    </r>
    <r>
      <rPr>
        <vertAlign val="subscript"/>
        <sz val="10"/>
        <color theme="0" tint="-0.499984740745262"/>
        <rFont val="Arial"/>
        <family val="2"/>
      </rPr>
      <t>1</t>
    </r>
    <r>
      <rPr>
        <sz val="10"/>
        <color theme="0" tint="-0.499984740745262"/>
        <rFont val="Arial"/>
        <family val="2"/>
      </rPr>
      <t xml:space="preserve"> – 1/3*(sin K</t>
    </r>
    <r>
      <rPr>
        <vertAlign val="subscript"/>
        <sz val="10"/>
        <color theme="0" tint="-0.499984740745262"/>
        <rFont val="Arial"/>
        <family val="2"/>
      </rPr>
      <t>1</t>
    </r>
    <r>
      <rPr>
        <sz val="10"/>
        <color theme="0" tint="-0.499984740745262"/>
        <rFont val="Arial"/>
        <family val="2"/>
      </rPr>
      <t>)</t>
    </r>
    <r>
      <rPr>
        <vertAlign val="superscript"/>
        <sz val="10"/>
        <color theme="0" tint="-0.499984740745262"/>
        <rFont val="Arial"/>
        <family val="2"/>
      </rPr>
      <t>3</t>
    </r>
    <r>
      <rPr>
        <sz val="10"/>
        <color theme="0" tint="-0.499984740745262"/>
        <rFont val="Arial"/>
        <family val="2"/>
      </rPr>
      <t>)</t>
    </r>
  </si>
  <si>
    <t>Coordinates of Large Wood Crown at Key Points</t>
  </si>
  <si>
    <t>Projected Area of Log Calculation</t>
  </si>
  <si>
    <t>Projected Area of Rootwad Calculation</t>
  </si>
  <si>
    <t>At Left Bank Toe</t>
  </si>
  <si>
    <t>At Right Bank Toe</t>
  </si>
  <si>
    <t>At Left Bank Top</t>
  </si>
  <si>
    <t>At Right Bank Top</t>
  </si>
  <si>
    <t>Dist (ft)</t>
  </si>
  <si>
    <t>Dist</t>
  </si>
  <si>
    <t>Large Wood Coordinates</t>
  </si>
  <si>
    <t>Rootwad Coordinates</t>
  </si>
  <si>
    <t>Condition</t>
  </si>
  <si>
    <t>Point</t>
  </si>
  <si>
    <t>Pt</t>
  </si>
  <si>
    <t>Wood Present?</t>
  </si>
  <si>
    <t>Heading</t>
  </si>
  <si>
    <t>Dropdown List</t>
  </si>
  <si>
    <t>User Input</t>
  </si>
  <si>
    <t>User Verify</t>
  </si>
  <si>
    <t>Update the spreadsheet cells from "left to right" and "top to bottom"</t>
  </si>
  <si>
    <r>
      <t>cos (</t>
    </r>
    <r>
      <rPr>
        <sz val="10"/>
        <color theme="0" tint="-0.499984740745262"/>
        <rFont val="Symbol"/>
        <family val="1"/>
        <charset val="2"/>
      </rPr>
      <t>q</t>
    </r>
    <r>
      <rPr>
        <sz val="10"/>
        <color theme="0" tint="-0.499984740745262"/>
        <rFont val="Arial"/>
        <family val="2"/>
      </rPr>
      <t>+90) =</t>
    </r>
    <r>
      <rPr>
        <sz val="10"/>
        <color indexed="10"/>
        <rFont val="Arial"/>
        <family val="2"/>
      </rPr>
      <t/>
    </r>
  </si>
  <si>
    <r>
      <t>sin (</t>
    </r>
    <r>
      <rPr>
        <sz val="10"/>
        <color theme="0" tint="-0.499984740745262"/>
        <rFont val="Symbol"/>
        <family val="1"/>
        <charset val="2"/>
      </rPr>
      <t>q</t>
    </r>
    <r>
      <rPr>
        <sz val="10"/>
        <color theme="0" tint="-0.499984740745262"/>
        <rFont val="Arial"/>
        <family val="2"/>
      </rPr>
      <t>+90) =</t>
    </r>
    <r>
      <rPr>
        <sz val="10"/>
        <color indexed="10"/>
        <rFont val="Arial"/>
        <family val="2"/>
      </rPr>
      <t/>
    </r>
  </si>
  <si>
    <r>
      <t xml:space="preserve">cos </t>
    </r>
    <r>
      <rPr>
        <sz val="10"/>
        <color theme="0" tint="-0.499984740745262"/>
        <rFont val="Symbol"/>
        <family val="1"/>
        <charset val="2"/>
      </rPr>
      <t>b</t>
    </r>
    <r>
      <rPr>
        <sz val="10"/>
        <color theme="0" tint="-0.499984740745262"/>
        <rFont val="Arial"/>
        <family val="2"/>
      </rPr>
      <t xml:space="preserve"> =</t>
    </r>
    <r>
      <rPr>
        <sz val="10"/>
        <color indexed="10"/>
        <rFont val="Arial"/>
        <family val="2"/>
      </rPr>
      <t/>
    </r>
  </si>
  <si>
    <r>
      <t xml:space="preserve">sin </t>
    </r>
    <r>
      <rPr>
        <sz val="10"/>
        <color theme="0" tint="-0.499984740745262"/>
        <rFont val="Symbol"/>
        <family val="1"/>
        <charset val="2"/>
      </rPr>
      <t>b</t>
    </r>
    <r>
      <rPr>
        <sz val="10"/>
        <color theme="0" tint="-0.499984740745262"/>
        <rFont val="Arial"/>
        <family val="2"/>
      </rPr>
      <t xml:space="preserve"> =</t>
    </r>
    <r>
      <rPr>
        <sz val="10"/>
        <color indexed="10"/>
        <rFont val="Arial"/>
        <family val="2"/>
      </rPr>
      <t/>
    </r>
  </si>
  <si>
    <r>
      <t xml:space="preserve">typ RW </t>
    </r>
    <r>
      <rPr>
        <sz val="10"/>
        <color theme="0" tint="-0.499984740745262"/>
        <rFont val="Symbol"/>
        <family val="1"/>
        <charset val="2"/>
      </rPr>
      <t>b</t>
    </r>
    <r>
      <rPr>
        <sz val="10"/>
        <color theme="0" tint="-0.499984740745262"/>
        <rFont val="Arial"/>
        <family val="2"/>
      </rPr>
      <t xml:space="preserve"> =</t>
    </r>
  </si>
  <si>
    <t>Large Wood Parameters</t>
  </si>
  <si>
    <t>Bank (ft/ft)</t>
  </si>
  <si>
    <t>Slope</t>
  </si>
  <si>
    <t>Left Bank</t>
  </si>
  <si>
    <t>LB Floodplain</t>
  </si>
  <si>
    <t>Right Bank</t>
  </si>
  <si>
    <t>RB Floodplain</t>
  </si>
  <si>
    <t>LW Buried?</t>
  </si>
  <si>
    <t>Low Pt on Crown</t>
  </si>
  <si>
    <t>High Pt on Crown</t>
  </si>
  <si>
    <t>Stream R</t>
  </si>
  <si>
    <t>Stream L</t>
  </si>
  <si>
    <t>Adjusted Dist (ft)</t>
  </si>
  <si>
    <t>Distance</t>
  </si>
  <si>
    <t>At Left Thalweg</t>
  </si>
  <si>
    <t>At Right Thalweg</t>
  </si>
  <si>
    <t>Log L (ft)</t>
  </si>
  <si>
    <t>Zone L (ft)</t>
  </si>
  <si>
    <t>L check</t>
  </si>
  <si>
    <t>Dist to Intercept</t>
  </si>
  <si>
    <t>Slope Log (ft/ft)</t>
  </si>
  <si>
    <r>
      <t>y</t>
    </r>
    <r>
      <rPr>
        <b/>
        <vertAlign val="subscript"/>
        <sz val="10"/>
        <color theme="0" tint="-0.499984740745262"/>
        <rFont val="Arial"/>
        <family val="2"/>
      </rPr>
      <t>soil</t>
    </r>
    <r>
      <rPr>
        <b/>
        <sz val="10"/>
        <color theme="0" tint="-0.499984740745262"/>
        <rFont val="Arial"/>
        <family val="2"/>
      </rPr>
      <t xml:space="preserve"> (ft)</t>
    </r>
  </si>
  <si>
    <t>Intercept in Zone?</t>
  </si>
  <si>
    <t>Exposed Segment</t>
  </si>
  <si>
    <t>Water and Log Intercept</t>
  </si>
  <si>
    <t>Low Pt on Bottom</t>
  </si>
  <si>
    <t>High Pt on Bottom</t>
  </si>
  <si>
    <t>Bottom</t>
  </si>
  <si>
    <t>Right Stream Bed</t>
  </si>
  <si>
    <t>Left Stream Bed</t>
  </si>
  <si>
    <t>Intercept Zone</t>
  </si>
  <si>
    <t>High Pt on Centerline</t>
  </si>
  <si>
    <t>Low Pt on Centerline</t>
  </si>
  <si>
    <t>Log Crown and Soil Intercept</t>
  </si>
  <si>
    <r>
      <t>x</t>
    </r>
    <r>
      <rPr>
        <b/>
        <vertAlign val="subscript"/>
        <sz val="10"/>
        <color theme="0" tint="-0.499984740745262"/>
        <rFont val="Arial"/>
        <family val="2"/>
      </rPr>
      <t>crown</t>
    </r>
    <r>
      <rPr>
        <b/>
        <sz val="10"/>
        <color theme="0" tint="-0.499984740745262"/>
        <rFont val="Arial"/>
        <family val="2"/>
      </rPr>
      <t xml:space="preserve"> (ft)</t>
    </r>
  </si>
  <si>
    <r>
      <t>y</t>
    </r>
    <r>
      <rPr>
        <b/>
        <vertAlign val="subscript"/>
        <sz val="10"/>
        <color theme="0" tint="-0.499984740745262"/>
        <rFont val="Arial"/>
        <family val="2"/>
      </rPr>
      <t>crown</t>
    </r>
    <r>
      <rPr>
        <b/>
        <sz val="10"/>
        <color theme="0" tint="-0.499984740745262"/>
        <rFont val="Arial"/>
        <family val="2"/>
      </rPr>
      <t xml:space="preserve"> (ft)</t>
    </r>
  </si>
  <si>
    <t>Log Position</t>
  </si>
  <si>
    <t>LW Buried at Intercept?</t>
  </si>
  <si>
    <t>Crown</t>
  </si>
  <si>
    <r>
      <rPr>
        <b/>
        <vertAlign val="superscript"/>
        <sz val="10"/>
        <color rgb="FFFF0000"/>
        <rFont val="Arial"/>
        <family val="2"/>
      </rPr>
      <t>1</t>
    </r>
    <r>
      <rPr>
        <sz val="10"/>
        <rFont val="Arial"/>
        <family val="2"/>
      </rPr>
      <t>Use Gippel et al (1996) Formula:</t>
    </r>
  </si>
  <si>
    <t>i.e.</t>
  </si>
  <si>
    <t>Max</t>
  </si>
  <si>
    <t>Avg</t>
  </si>
  <si>
    <t>Min</t>
  </si>
  <si>
    <t>Minimum</t>
  </si>
  <si>
    <t>That is</t>
  </si>
  <si>
    <t>Centerline</t>
  </si>
  <si>
    <t>Tilted Cylindrical (Stem) Wet Volume Calculation (Below Channel Thalweg)</t>
  </si>
  <si>
    <r>
      <t>ft</t>
    </r>
    <r>
      <rPr>
        <vertAlign val="superscript"/>
        <sz val="10"/>
        <color theme="0" tint="-0.499984740745262"/>
        <rFont val="Arial"/>
        <family val="2"/>
      </rPr>
      <t>3</t>
    </r>
    <r>
      <rPr>
        <sz val="11"/>
        <color theme="1"/>
        <rFont val="Calibri"/>
        <family val="2"/>
        <scheme val="minor"/>
      </rPr>
      <t/>
    </r>
  </si>
  <si>
    <r>
      <t>L</t>
    </r>
    <r>
      <rPr>
        <b/>
        <vertAlign val="subscript"/>
        <sz val="10"/>
        <color theme="0" tint="-0.499984740745262"/>
        <rFont val="Arial"/>
        <family val="2"/>
      </rPr>
      <t>em,crown</t>
    </r>
    <r>
      <rPr>
        <b/>
        <sz val="10"/>
        <color theme="0" tint="-0.499984740745262"/>
        <rFont val="Arial"/>
        <family val="2"/>
      </rPr>
      <t xml:space="preserve"> (ft)</t>
    </r>
  </si>
  <si>
    <t>Coordinates of Large Wood Bottom at Key Points</t>
  </si>
  <si>
    <t>Log Bottom and Soil Intercept</t>
  </si>
  <si>
    <r>
      <t>x</t>
    </r>
    <r>
      <rPr>
        <b/>
        <vertAlign val="subscript"/>
        <sz val="10"/>
        <color theme="0" tint="-0.499984740745262"/>
        <rFont val="Arial"/>
        <family val="2"/>
      </rPr>
      <t>bottom</t>
    </r>
    <r>
      <rPr>
        <b/>
        <sz val="10"/>
        <color theme="0" tint="-0.499984740745262"/>
        <rFont val="Arial"/>
        <family val="2"/>
      </rPr>
      <t xml:space="preserve"> (ft)</t>
    </r>
  </si>
  <si>
    <r>
      <t>y</t>
    </r>
    <r>
      <rPr>
        <b/>
        <vertAlign val="subscript"/>
        <sz val="10"/>
        <color theme="0" tint="-0.499984740745262"/>
        <rFont val="Arial"/>
        <family val="2"/>
      </rPr>
      <t>bottom</t>
    </r>
    <r>
      <rPr>
        <b/>
        <sz val="10"/>
        <color theme="0" tint="-0.499984740745262"/>
        <rFont val="Arial"/>
        <family val="2"/>
      </rPr>
      <t xml:space="preserve"> (ft)</t>
    </r>
  </si>
  <si>
    <t>Log Parameters</t>
  </si>
  <si>
    <t>Soil Parameters</t>
  </si>
  <si>
    <r>
      <t>d</t>
    </r>
    <r>
      <rPr>
        <b/>
        <vertAlign val="subscript"/>
        <sz val="10"/>
        <color theme="0" tint="-0.499984740745262"/>
        <rFont val="Arial"/>
        <family val="2"/>
      </rPr>
      <t>b,dry,crown</t>
    </r>
    <r>
      <rPr>
        <b/>
        <sz val="10"/>
        <color theme="0" tint="-0.499984740745262"/>
        <rFont val="Arial"/>
        <family val="2"/>
      </rPr>
      <t xml:space="preserve"> (ft)</t>
    </r>
  </si>
  <si>
    <r>
      <t>d</t>
    </r>
    <r>
      <rPr>
        <b/>
        <vertAlign val="subscript"/>
        <sz val="10"/>
        <color theme="0" tint="-0.499984740745262"/>
        <rFont val="Arial"/>
        <family val="2"/>
      </rPr>
      <t>b,dry,bottom</t>
    </r>
    <r>
      <rPr>
        <b/>
        <sz val="10"/>
        <color theme="0" tint="-0.499984740745262"/>
        <rFont val="Arial"/>
        <family val="2"/>
      </rPr>
      <t xml:space="preserve"> (ft)</t>
    </r>
  </si>
  <si>
    <r>
      <t>d</t>
    </r>
    <r>
      <rPr>
        <b/>
        <vertAlign val="subscript"/>
        <sz val="10"/>
        <color theme="0" tint="-0.499984740745262"/>
        <rFont val="Arial"/>
        <family val="2"/>
      </rPr>
      <t>b,crown</t>
    </r>
    <r>
      <rPr>
        <b/>
        <sz val="10"/>
        <color theme="0" tint="-0.499984740745262"/>
        <rFont val="Arial"/>
        <family val="2"/>
      </rPr>
      <t xml:space="preserve"> (ft)</t>
    </r>
  </si>
  <si>
    <r>
      <t>d</t>
    </r>
    <r>
      <rPr>
        <b/>
        <vertAlign val="subscript"/>
        <sz val="10"/>
        <color theme="0" tint="-0.499984740745262"/>
        <rFont val="Arial"/>
        <family val="2"/>
      </rPr>
      <t>b,bottom</t>
    </r>
    <r>
      <rPr>
        <b/>
        <sz val="10"/>
        <color theme="0" tint="-0.499984740745262"/>
        <rFont val="Arial"/>
        <family val="2"/>
      </rPr>
      <t xml:space="preserve"> (ft)</t>
    </r>
  </si>
  <si>
    <r>
      <t>A</t>
    </r>
    <r>
      <rPr>
        <b/>
        <vertAlign val="subscript"/>
        <sz val="10"/>
        <color theme="0" tint="-0.499984740745262"/>
        <rFont val="Arial"/>
        <family val="2"/>
      </rPr>
      <t>TSp,em</t>
    </r>
    <r>
      <rPr>
        <b/>
        <sz val="10"/>
        <color theme="0" tint="-0.499984740745262"/>
        <rFont val="Arial"/>
        <family val="2"/>
      </rPr>
      <t xml:space="preserve"> (ft</t>
    </r>
    <r>
      <rPr>
        <b/>
        <vertAlign val="superscript"/>
        <sz val="10"/>
        <color theme="0" tint="-0.499984740745262"/>
        <rFont val="Arial"/>
        <family val="2"/>
      </rPr>
      <t>2</t>
    </r>
    <r>
      <rPr>
        <b/>
        <sz val="10"/>
        <color theme="0" tint="-0.499984740745262"/>
        <rFont val="Arial"/>
        <family val="2"/>
      </rPr>
      <t>)</t>
    </r>
  </si>
  <si>
    <r>
      <t>A</t>
    </r>
    <r>
      <rPr>
        <b/>
        <vertAlign val="subscript"/>
        <sz val="10"/>
        <color theme="0" tint="-0.499984740745262"/>
        <rFont val="Arial"/>
        <family val="2"/>
      </rPr>
      <t>TSp,dry,em</t>
    </r>
    <r>
      <rPr>
        <b/>
        <sz val="10"/>
        <color theme="0" tint="-0.499984740745262"/>
        <rFont val="Arial"/>
        <family val="2"/>
      </rPr>
      <t xml:space="preserve"> (ft</t>
    </r>
    <r>
      <rPr>
        <b/>
        <vertAlign val="superscript"/>
        <sz val="10"/>
        <color theme="0" tint="-0.499984740745262"/>
        <rFont val="Arial"/>
        <family val="2"/>
      </rPr>
      <t>2</t>
    </r>
    <r>
      <rPr>
        <b/>
        <sz val="10"/>
        <color theme="0" tint="-0.499984740745262"/>
        <rFont val="Arial"/>
        <family val="2"/>
      </rPr>
      <t>)</t>
    </r>
  </si>
  <si>
    <r>
      <t>d</t>
    </r>
    <r>
      <rPr>
        <b/>
        <vertAlign val="subscript"/>
        <sz val="10"/>
        <color theme="0" tint="-0.499984740745262"/>
        <rFont val="Arial"/>
        <family val="2"/>
      </rPr>
      <t>TSp,dry,em</t>
    </r>
    <r>
      <rPr>
        <b/>
        <sz val="10"/>
        <color theme="0" tint="-0.499984740745262"/>
        <rFont val="Arial"/>
        <family val="2"/>
      </rPr>
      <t xml:space="preserve"> (ft</t>
    </r>
    <r>
      <rPr>
        <b/>
        <sz val="10"/>
        <color theme="0" tint="-0.499984740745262"/>
        <rFont val="Arial"/>
        <family val="2"/>
      </rPr>
      <t>)</t>
    </r>
  </si>
  <si>
    <t>Water and Log Intercept at Face</t>
  </si>
  <si>
    <t>Lower Face</t>
  </si>
  <si>
    <t>Upper Face</t>
  </si>
  <si>
    <t>Slope Log Face (ft/ft)</t>
  </si>
  <si>
    <r>
      <t>h</t>
    </r>
    <r>
      <rPr>
        <b/>
        <vertAlign val="subscript"/>
        <sz val="10"/>
        <color theme="0" tint="-0.499984740745262"/>
        <rFont val="Arial"/>
        <family val="2"/>
      </rPr>
      <t>TS,dry</t>
    </r>
    <r>
      <rPr>
        <b/>
        <sz val="10"/>
        <color theme="0" tint="-0.499984740745262"/>
        <rFont val="Arial"/>
        <family val="2"/>
      </rPr>
      <t xml:space="preserve"> (ft)</t>
    </r>
  </si>
  <si>
    <r>
      <t>y</t>
    </r>
    <r>
      <rPr>
        <b/>
        <vertAlign val="subscript"/>
        <sz val="10"/>
        <color theme="0" tint="-0.499984740745262"/>
        <rFont val="Arial"/>
        <family val="2"/>
      </rPr>
      <t>TS</t>
    </r>
    <r>
      <rPr>
        <b/>
        <sz val="10"/>
        <color theme="0" tint="-0.499984740745262"/>
        <rFont val="Arial"/>
        <family val="2"/>
      </rPr>
      <t xml:space="preserve"> (ft)</t>
    </r>
  </si>
  <si>
    <r>
      <t>x</t>
    </r>
    <r>
      <rPr>
        <b/>
        <vertAlign val="subscript"/>
        <sz val="10"/>
        <color theme="0" tint="-0.499984740745262"/>
        <rFont val="Arial"/>
        <family val="2"/>
      </rPr>
      <t>TS</t>
    </r>
    <r>
      <rPr>
        <b/>
        <sz val="10"/>
        <color theme="0" tint="-0.499984740745262"/>
        <rFont val="Arial"/>
        <family val="2"/>
      </rPr>
      <t xml:space="preserve"> (ft)</t>
    </r>
  </si>
  <si>
    <r>
      <t>h</t>
    </r>
    <r>
      <rPr>
        <b/>
        <vertAlign val="subscript"/>
        <sz val="10"/>
        <color theme="0" tint="-0.499984740745262"/>
        <rFont val="Arial"/>
        <family val="2"/>
      </rPr>
      <t>b,TS</t>
    </r>
    <r>
      <rPr>
        <b/>
        <sz val="10"/>
        <color theme="0" tint="-0.499984740745262"/>
        <rFont val="Arial"/>
        <family val="2"/>
      </rPr>
      <t xml:space="preserve"> (ft)</t>
    </r>
  </si>
  <si>
    <r>
      <t>d</t>
    </r>
    <r>
      <rPr>
        <b/>
        <vertAlign val="subscript"/>
        <sz val="10"/>
        <color theme="0" tint="-0.499984740745262"/>
        <rFont val="Arial"/>
        <family val="2"/>
      </rPr>
      <t>b,sat,crown</t>
    </r>
    <r>
      <rPr>
        <b/>
        <sz val="10"/>
        <color theme="0" tint="-0.499984740745262"/>
        <rFont val="Arial"/>
        <family val="2"/>
      </rPr>
      <t xml:space="preserve"> (ft)</t>
    </r>
  </si>
  <si>
    <r>
      <t>d</t>
    </r>
    <r>
      <rPr>
        <b/>
        <vertAlign val="subscript"/>
        <sz val="10"/>
        <color theme="0" tint="-0.499984740745262"/>
        <rFont val="Arial"/>
        <family val="2"/>
      </rPr>
      <t>b,sat,bottom</t>
    </r>
    <r>
      <rPr>
        <b/>
        <sz val="10"/>
        <color theme="0" tint="-0.499984740745262"/>
        <rFont val="Arial"/>
        <family val="2"/>
      </rPr>
      <t xml:space="preserve"> (ft)</t>
    </r>
  </si>
  <si>
    <t>Zone</t>
  </si>
  <si>
    <r>
      <t>d</t>
    </r>
    <r>
      <rPr>
        <b/>
        <vertAlign val="subscript"/>
        <sz val="10"/>
        <color rgb="FF003300"/>
        <rFont val="Arial"/>
        <family val="2"/>
      </rPr>
      <t>b,max</t>
    </r>
    <r>
      <rPr>
        <b/>
        <sz val="10"/>
        <color rgb="FF003300"/>
        <rFont val="Arial"/>
        <family val="2"/>
      </rPr>
      <t xml:space="preserve"> (ft)</t>
    </r>
  </si>
  <si>
    <r>
      <t>d</t>
    </r>
    <r>
      <rPr>
        <b/>
        <vertAlign val="subscript"/>
        <sz val="10"/>
        <color rgb="FF003300"/>
        <rFont val="Arial"/>
        <family val="2"/>
      </rPr>
      <t>b,avg</t>
    </r>
    <r>
      <rPr>
        <b/>
        <sz val="10"/>
        <color rgb="FF003300"/>
        <rFont val="Arial"/>
        <family val="2"/>
      </rPr>
      <t xml:space="preserve"> (ft)</t>
    </r>
  </si>
  <si>
    <r>
      <t>d</t>
    </r>
    <r>
      <rPr>
        <b/>
        <vertAlign val="subscript"/>
        <sz val="10"/>
        <color theme="0" tint="-0.499984740745262"/>
        <rFont val="Arial"/>
        <family val="2"/>
      </rPr>
      <t>b,crown,bank</t>
    </r>
    <r>
      <rPr>
        <b/>
        <sz val="10"/>
        <color theme="0" tint="-0.499984740745262"/>
        <rFont val="Arial"/>
        <family val="2"/>
      </rPr>
      <t xml:space="preserve"> (ft)</t>
    </r>
  </si>
  <si>
    <r>
      <t>d</t>
    </r>
    <r>
      <rPr>
        <b/>
        <vertAlign val="subscript"/>
        <sz val="10"/>
        <color theme="0" tint="-0.499984740745262"/>
        <rFont val="Arial"/>
        <family val="2"/>
      </rPr>
      <t>b,crown,bed</t>
    </r>
    <r>
      <rPr>
        <b/>
        <sz val="10"/>
        <color theme="0" tint="-0.499984740745262"/>
        <rFont val="Arial"/>
        <family val="2"/>
      </rPr>
      <t xml:space="preserve"> (ft)</t>
    </r>
  </si>
  <si>
    <r>
      <t>y</t>
    </r>
    <r>
      <rPr>
        <b/>
        <vertAlign val="subscript"/>
        <sz val="10"/>
        <color rgb="FF003300"/>
        <rFont val="Arial"/>
        <family val="2"/>
      </rPr>
      <t>T,min</t>
    </r>
    <r>
      <rPr>
        <b/>
        <sz val="10"/>
        <color rgb="FF003300"/>
        <rFont val="Arial"/>
        <family val="2"/>
      </rPr>
      <t xml:space="preserve"> (ft)</t>
    </r>
  </si>
  <si>
    <r>
      <t>y</t>
    </r>
    <r>
      <rPr>
        <b/>
        <vertAlign val="subscript"/>
        <sz val="10"/>
        <color rgb="FF003300"/>
        <rFont val="Arial"/>
        <family val="2"/>
      </rPr>
      <t>T,max</t>
    </r>
    <r>
      <rPr>
        <b/>
        <sz val="10"/>
        <color rgb="FF003300"/>
        <rFont val="Arial"/>
        <family val="2"/>
      </rPr>
      <t xml:space="preserve"> (ft)</t>
    </r>
  </si>
  <si>
    <r>
      <t>V</t>
    </r>
    <r>
      <rPr>
        <b/>
        <vertAlign val="subscript"/>
        <sz val="10"/>
        <color theme="0" tint="-0.499984740745262"/>
        <rFont val="Arial"/>
        <family val="2"/>
      </rPr>
      <t>bed,dry</t>
    </r>
    <r>
      <rPr>
        <b/>
        <sz val="10"/>
        <color theme="0" tint="-0.499984740745262"/>
        <rFont val="Arial"/>
        <family val="2"/>
      </rPr>
      <t xml:space="preserve"> (ft</t>
    </r>
    <r>
      <rPr>
        <b/>
        <vertAlign val="superscript"/>
        <sz val="10"/>
        <color theme="0" tint="-0.499984740745262"/>
        <rFont val="Arial"/>
        <family val="2"/>
      </rPr>
      <t>3</t>
    </r>
    <r>
      <rPr>
        <b/>
        <sz val="10"/>
        <color theme="0" tint="-0.499984740745262"/>
        <rFont val="Arial"/>
        <family val="2"/>
      </rPr>
      <t>)</t>
    </r>
  </si>
  <si>
    <r>
      <t>V</t>
    </r>
    <r>
      <rPr>
        <b/>
        <vertAlign val="subscript"/>
        <sz val="10"/>
        <color theme="0" tint="-0.499984740745262"/>
        <rFont val="Arial"/>
        <family val="2"/>
      </rPr>
      <t>bed,sat</t>
    </r>
    <r>
      <rPr>
        <b/>
        <sz val="10"/>
        <color theme="0" tint="-0.499984740745262"/>
        <rFont val="Arial"/>
        <family val="2"/>
      </rPr>
      <t xml:space="preserve"> (ft</t>
    </r>
    <r>
      <rPr>
        <b/>
        <vertAlign val="superscript"/>
        <sz val="10"/>
        <color theme="0" tint="-0.499984740745262"/>
        <rFont val="Arial"/>
        <family val="2"/>
      </rPr>
      <t>3</t>
    </r>
    <r>
      <rPr>
        <b/>
        <sz val="10"/>
        <color theme="0" tint="-0.499984740745262"/>
        <rFont val="Arial"/>
        <family val="2"/>
      </rPr>
      <t>)</t>
    </r>
  </si>
  <si>
    <r>
      <t>V</t>
    </r>
    <r>
      <rPr>
        <b/>
        <vertAlign val="subscript"/>
        <sz val="10"/>
        <color theme="0" tint="-0.499984740745262"/>
        <rFont val="Arial"/>
        <family val="2"/>
      </rPr>
      <t>bank,dry</t>
    </r>
    <r>
      <rPr>
        <b/>
        <sz val="10"/>
        <color theme="0" tint="-0.499984740745262"/>
        <rFont val="Arial"/>
        <family val="2"/>
      </rPr>
      <t xml:space="preserve"> (ft</t>
    </r>
    <r>
      <rPr>
        <b/>
        <vertAlign val="superscript"/>
        <sz val="10"/>
        <color theme="0" tint="-0.499984740745262"/>
        <rFont val="Arial"/>
        <family val="2"/>
      </rPr>
      <t>3</t>
    </r>
    <r>
      <rPr>
        <b/>
        <sz val="10"/>
        <color theme="0" tint="-0.499984740745262"/>
        <rFont val="Arial"/>
        <family val="2"/>
      </rPr>
      <t>)</t>
    </r>
  </si>
  <si>
    <r>
      <t>V</t>
    </r>
    <r>
      <rPr>
        <b/>
        <vertAlign val="subscript"/>
        <sz val="10"/>
        <color theme="0" tint="-0.499984740745262"/>
        <rFont val="Arial"/>
        <family val="2"/>
      </rPr>
      <t>bank,sat</t>
    </r>
    <r>
      <rPr>
        <b/>
        <sz val="10"/>
        <color theme="0" tint="-0.499984740745262"/>
        <rFont val="Arial"/>
        <family val="2"/>
      </rPr>
      <t xml:space="preserve"> (ft</t>
    </r>
    <r>
      <rPr>
        <b/>
        <vertAlign val="superscript"/>
        <sz val="10"/>
        <color theme="0" tint="-0.499984740745262"/>
        <rFont val="Arial"/>
        <family val="2"/>
      </rPr>
      <t>3</t>
    </r>
    <r>
      <rPr>
        <b/>
        <sz val="10"/>
        <color theme="0" tint="-0.499984740745262"/>
        <rFont val="Arial"/>
        <family val="2"/>
      </rPr>
      <t>)</t>
    </r>
  </si>
  <si>
    <r>
      <t>V</t>
    </r>
    <r>
      <rPr>
        <b/>
        <vertAlign val="subscript"/>
        <sz val="10"/>
        <color rgb="FF003300"/>
        <rFont val="Arial"/>
        <family val="2"/>
      </rPr>
      <t>dry</t>
    </r>
    <r>
      <rPr>
        <b/>
        <sz val="10"/>
        <color rgb="FF003300"/>
        <rFont val="Arial"/>
        <family val="2"/>
      </rPr>
      <t xml:space="preserve"> (ft</t>
    </r>
    <r>
      <rPr>
        <b/>
        <vertAlign val="superscript"/>
        <sz val="10"/>
        <color rgb="FF003300"/>
        <rFont val="Arial"/>
        <family val="2"/>
      </rPr>
      <t>3</t>
    </r>
    <r>
      <rPr>
        <b/>
        <sz val="10"/>
        <color rgb="FF003300"/>
        <rFont val="Arial"/>
        <family val="2"/>
      </rPr>
      <t>)</t>
    </r>
  </si>
  <si>
    <r>
      <t>V</t>
    </r>
    <r>
      <rPr>
        <b/>
        <vertAlign val="subscript"/>
        <sz val="10"/>
        <color rgb="FF003300"/>
        <rFont val="Arial"/>
        <family val="2"/>
      </rPr>
      <t>sat</t>
    </r>
    <r>
      <rPr>
        <b/>
        <sz val="10"/>
        <color rgb="FF003300"/>
        <rFont val="Arial"/>
        <family val="2"/>
      </rPr>
      <t xml:space="preserve"> (ft</t>
    </r>
    <r>
      <rPr>
        <b/>
        <vertAlign val="superscript"/>
        <sz val="10"/>
        <color rgb="FF003300"/>
        <rFont val="Arial"/>
        <family val="2"/>
      </rPr>
      <t>3</t>
    </r>
    <r>
      <rPr>
        <b/>
        <sz val="10"/>
        <color rgb="FF003300"/>
        <rFont val="Arial"/>
        <family val="2"/>
      </rPr>
      <t>)</t>
    </r>
  </si>
  <si>
    <r>
      <t>h</t>
    </r>
    <r>
      <rPr>
        <b/>
        <vertAlign val="subscript"/>
        <sz val="10"/>
        <color theme="0" tint="-0.499984740745262"/>
        <rFont val="Arial"/>
        <family val="2"/>
      </rPr>
      <t>T</t>
    </r>
    <r>
      <rPr>
        <b/>
        <vertAlign val="subscript"/>
        <sz val="10"/>
        <color theme="0" tint="-0.499984740745262"/>
        <rFont val="Calibri"/>
        <family val="2"/>
      </rPr>
      <t>↑</t>
    </r>
    <r>
      <rPr>
        <b/>
        <vertAlign val="subscript"/>
        <sz val="10"/>
        <color theme="0" tint="-0.499984740745262"/>
        <rFont val="Arial"/>
        <family val="2"/>
      </rPr>
      <t>bed,ex,wet</t>
    </r>
    <r>
      <rPr>
        <b/>
        <sz val="10"/>
        <color theme="0" tint="-0.499984740745262"/>
        <rFont val="Arial"/>
        <family val="2"/>
      </rPr>
      <t xml:space="preserve"> (ft)</t>
    </r>
  </si>
  <si>
    <r>
      <t>C</t>
    </r>
    <r>
      <rPr>
        <b/>
        <vertAlign val="subscript"/>
        <sz val="10"/>
        <color theme="0" tint="-0.499984740745262"/>
        <rFont val="Arial"/>
        <family val="2"/>
      </rPr>
      <t>L</t>
    </r>
    <r>
      <rPr>
        <b/>
        <sz val="10"/>
        <color theme="0" tint="-0.499984740745262"/>
        <rFont val="Arial"/>
        <family val="2"/>
      </rPr>
      <t xml:space="preserve"> (ft)</t>
    </r>
  </si>
  <si>
    <r>
      <t>L</t>
    </r>
    <r>
      <rPr>
        <b/>
        <vertAlign val="subscript"/>
        <sz val="10"/>
        <color theme="0" tint="-0.499984740745262"/>
        <rFont val="Arial"/>
        <family val="2"/>
      </rPr>
      <t>T,em</t>
    </r>
    <r>
      <rPr>
        <b/>
        <sz val="10"/>
        <color theme="0" tint="-0.499984740745262"/>
        <rFont val="Arial"/>
        <family val="2"/>
      </rPr>
      <t xml:space="preserve"> (ft)</t>
    </r>
  </si>
  <si>
    <r>
      <t>L</t>
    </r>
    <r>
      <rPr>
        <b/>
        <vertAlign val="subscript"/>
        <sz val="10"/>
        <color rgb="FF003300"/>
        <rFont val="Arial"/>
        <family val="2"/>
      </rPr>
      <t>T,em</t>
    </r>
    <r>
      <rPr>
        <b/>
        <sz val="10"/>
        <color rgb="FF003300"/>
        <rFont val="Arial"/>
        <family val="2"/>
      </rPr>
      <t xml:space="preserve"> (ft)</t>
    </r>
  </si>
  <si>
    <r>
      <t>L</t>
    </r>
    <r>
      <rPr>
        <b/>
        <vertAlign val="subscript"/>
        <sz val="10"/>
        <color theme="0" tint="-0.499984740745262"/>
        <rFont val="Arial"/>
        <family val="2"/>
      </rPr>
      <t>T,ex</t>
    </r>
    <r>
      <rPr>
        <b/>
        <sz val="10"/>
        <color theme="0" tint="-0.499984740745262"/>
        <rFont val="Arial"/>
        <family val="2"/>
      </rPr>
      <t xml:space="preserve"> (ft)</t>
    </r>
  </si>
  <si>
    <t>Lift Force</t>
  </si>
  <si>
    <t>Soil Ballast Force</t>
  </si>
  <si>
    <r>
      <t>W</t>
    </r>
    <r>
      <rPr>
        <b/>
        <vertAlign val="subscript"/>
        <sz val="10"/>
        <color rgb="FF003300"/>
        <rFont val="Arial"/>
        <family val="2"/>
      </rPr>
      <t>T</t>
    </r>
    <r>
      <rPr>
        <b/>
        <sz val="10"/>
        <color rgb="FF003300"/>
        <rFont val="Arial"/>
        <family val="2"/>
      </rPr>
      <t xml:space="preserve"> (lbf)</t>
    </r>
  </si>
  <si>
    <t>Feet</t>
  </si>
  <si>
    <t>lb</t>
  </si>
  <si>
    <t>Pound</t>
  </si>
  <si>
    <t>Pounds force</t>
  </si>
  <si>
    <t>Formatting</t>
  </si>
  <si>
    <t>Friction Force</t>
  </si>
  <si>
    <t>Passive Soil Pressure</t>
  </si>
  <si>
    <r>
      <t>F</t>
    </r>
    <r>
      <rPr>
        <b/>
        <vertAlign val="subscript"/>
        <sz val="10"/>
        <color rgb="FF003300"/>
        <rFont val="Arial"/>
        <family val="2"/>
      </rPr>
      <t>P</t>
    </r>
    <r>
      <rPr>
        <b/>
        <sz val="10"/>
        <color rgb="FF003300"/>
        <rFont val="Arial"/>
        <family val="2"/>
      </rPr>
      <t xml:space="preserve"> (lbf)</t>
    </r>
  </si>
  <si>
    <t>Channel Geometry Coordinates</t>
  </si>
  <si>
    <t>Point 1</t>
  </si>
  <si>
    <t>Point 2</t>
  </si>
  <si>
    <t>Point 3</t>
  </si>
  <si>
    <t>Point 4</t>
  </si>
  <si>
    <t>Point 5</t>
  </si>
  <si>
    <t>Point 6</t>
  </si>
  <si>
    <t>Point 7</t>
  </si>
  <si>
    <t>Point 8</t>
  </si>
  <si>
    <t>Boulder #1</t>
  </si>
  <si>
    <t>Point 9</t>
  </si>
  <si>
    <r>
      <t>F</t>
    </r>
    <r>
      <rPr>
        <b/>
        <vertAlign val="subscript"/>
        <sz val="10"/>
        <color rgb="FF003300"/>
        <rFont val="Arial"/>
        <family val="2"/>
      </rPr>
      <t>F</t>
    </r>
    <r>
      <rPr>
        <b/>
        <sz val="10"/>
        <color rgb="FF003300"/>
        <rFont val="Arial"/>
        <family val="2"/>
      </rPr>
      <t xml:space="preserve"> (lbf)</t>
    </r>
  </si>
  <si>
    <t>m</t>
  </si>
  <si>
    <r>
      <t>F</t>
    </r>
    <r>
      <rPr>
        <b/>
        <vertAlign val="subscript"/>
        <sz val="10"/>
        <color rgb="FF003300"/>
        <rFont val="Arial"/>
        <family val="2"/>
      </rPr>
      <t>A,V</t>
    </r>
    <r>
      <rPr>
        <b/>
        <sz val="10"/>
        <color rgb="FF003300"/>
        <rFont val="Arial"/>
        <family val="2"/>
      </rPr>
      <t xml:space="preserve"> (lbf)</t>
    </r>
  </si>
  <si>
    <r>
      <t>F</t>
    </r>
    <r>
      <rPr>
        <b/>
        <vertAlign val="subscript"/>
        <sz val="10"/>
        <color rgb="FF003300"/>
        <rFont val="Arial"/>
        <family val="2"/>
      </rPr>
      <t>A,H</t>
    </r>
    <r>
      <rPr>
        <b/>
        <sz val="10"/>
        <color rgb="FF003300"/>
        <rFont val="Arial"/>
        <family val="2"/>
      </rPr>
      <t xml:space="preserve"> (lbf)</t>
    </r>
  </si>
  <si>
    <t>Designer:</t>
  </si>
  <si>
    <t>Large Wood Structure Stability Analysis</t>
  </si>
  <si>
    <t>Sheet</t>
  </si>
  <si>
    <t>Wood Properties</t>
  </si>
  <si>
    <t>Multi-Log Structures</t>
  </si>
  <si>
    <t>Stream Bed Substrate Properties</t>
  </si>
  <si>
    <t>Bank Soil Properties</t>
  </si>
  <si>
    <r>
      <t>Dry Unit Weight</t>
    </r>
    <r>
      <rPr>
        <b/>
        <vertAlign val="superscript"/>
        <sz val="10"/>
        <color rgb="FFFF0000"/>
        <rFont val="Arial"/>
        <family val="2"/>
      </rPr>
      <t>1</t>
    </r>
    <r>
      <rPr>
        <b/>
        <sz val="10"/>
        <color rgb="FF003300"/>
        <rFont val="Arial"/>
        <family val="2"/>
      </rPr>
      <t xml:space="preserve">,   </t>
    </r>
    <r>
      <rPr>
        <b/>
        <sz val="10"/>
        <color rgb="FF003300"/>
        <rFont val="Symbol"/>
        <family val="1"/>
        <charset val="2"/>
      </rPr>
      <t>g</t>
    </r>
    <r>
      <rPr>
        <b/>
        <vertAlign val="subscript"/>
        <sz val="10"/>
        <color rgb="FF003300"/>
        <rFont val="Arial"/>
        <family val="2"/>
      </rPr>
      <t>bed</t>
    </r>
    <r>
      <rPr>
        <b/>
        <sz val="10"/>
        <color rgb="FF003300"/>
        <rFont val="Arial"/>
        <family val="2"/>
      </rPr>
      <t xml:space="preserve"> (lb/ft</t>
    </r>
    <r>
      <rPr>
        <b/>
        <vertAlign val="superscript"/>
        <sz val="10"/>
        <color rgb="FF003300"/>
        <rFont val="Arial"/>
        <family val="2"/>
      </rPr>
      <t>3</t>
    </r>
    <r>
      <rPr>
        <b/>
        <sz val="10"/>
        <color rgb="FF003300"/>
        <rFont val="Arial"/>
        <family val="2"/>
      </rPr>
      <t>)</t>
    </r>
  </si>
  <si>
    <r>
      <t xml:space="preserve">Dry Unit Weight,   </t>
    </r>
    <r>
      <rPr>
        <b/>
        <sz val="10"/>
        <color rgb="FF003300"/>
        <rFont val="Symbol"/>
        <family val="1"/>
        <charset val="2"/>
      </rPr>
      <t>g</t>
    </r>
    <r>
      <rPr>
        <b/>
        <vertAlign val="subscript"/>
        <sz val="10"/>
        <color rgb="FF003300"/>
        <rFont val="Arial"/>
        <family val="2"/>
      </rPr>
      <t>bank</t>
    </r>
    <r>
      <rPr>
        <b/>
        <sz val="10"/>
        <color rgb="FF003300"/>
        <rFont val="Arial"/>
        <family val="2"/>
      </rPr>
      <t xml:space="preserve"> (lb/ft</t>
    </r>
    <r>
      <rPr>
        <b/>
        <vertAlign val="superscript"/>
        <sz val="10"/>
        <color rgb="FF003300"/>
        <rFont val="Arial"/>
        <family val="2"/>
      </rPr>
      <t>3</t>
    </r>
    <r>
      <rPr>
        <b/>
        <sz val="10"/>
        <color rgb="FF003300"/>
        <rFont val="Arial"/>
        <family val="2"/>
      </rPr>
      <t>)</t>
    </r>
  </si>
  <si>
    <r>
      <t xml:space="preserve">Average Dry Unit Weight,    </t>
    </r>
    <r>
      <rPr>
        <b/>
        <sz val="10"/>
        <color rgb="FF003300"/>
        <rFont val="Symbol"/>
        <family val="1"/>
        <charset val="2"/>
      </rPr>
      <t>g</t>
    </r>
    <r>
      <rPr>
        <b/>
        <vertAlign val="subscript"/>
        <sz val="10"/>
        <color rgb="FF003300"/>
        <rFont val="Arial"/>
        <family val="2"/>
      </rPr>
      <t>bank</t>
    </r>
    <r>
      <rPr>
        <b/>
        <sz val="10"/>
        <color rgb="FF003300"/>
        <rFont val="Arial"/>
        <family val="2"/>
      </rPr>
      <t xml:space="preserve"> (lb/ft</t>
    </r>
    <r>
      <rPr>
        <b/>
        <vertAlign val="superscript"/>
        <sz val="10"/>
        <color rgb="FF003300"/>
        <rFont val="Arial"/>
        <family val="2"/>
      </rPr>
      <t>3</t>
    </r>
    <r>
      <rPr>
        <b/>
        <sz val="10"/>
        <color rgb="FF003300"/>
        <rFont val="Arial"/>
        <family val="2"/>
      </rPr>
      <t>)</t>
    </r>
  </si>
  <si>
    <t xml:space="preserve"> (from Julien 2010)</t>
  </si>
  <si>
    <t>Large Wood Structure Stability Analysis Spreadsheet was developed by Michael Rafferty, P.E.</t>
  </si>
  <si>
    <t>Date of Last Revision:</t>
  </si>
  <si>
    <t>Spreadsheet developed by Michael Rafferty, P.E.</t>
  </si>
  <si>
    <t>Spreadsheet developed by                                Michael Rafferty, P.E.</t>
  </si>
  <si>
    <t>Reference for Design Method of Large Wood Structures:</t>
  </si>
  <si>
    <t>Hydrologic and Hydraulic Inputs</t>
  </si>
  <si>
    <t>Solution</t>
  </si>
  <si>
    <t>Key Value</t>
  </si>
  <si>
    <r>
      <rPr>
        <b/>
        <sz val="10"/>
        <color rgb="FFFF0000"/>
        <rFont val="Arial"/>
        <family val="2"/>
      </rPr>
      <t>IMPORTANT</t>
    </r>
    <r>
      <rPr>
        <b/>
        <sz val="10"/>
        <rFont val="Arial"/>
        <family val="2"/>
      </rPr>
      <t xml:space="preserve"> - User should only edit the following cells:</t>
    </r>
  </si>
  <si>
    <t>Directions</t>
  </si>
  <si>
    <t>Select value from dropdown list</t>
  </si>
  <si>
    <t>Type value into cell</t>
  </si>
  <si>
    <t>Verify value in cell (edit if necessary)</t>
  </si>
  <si>
    <t>Directions for LW Stability Analysis Tool</t>
  </si>
  <si>
    <t>Cell Format</t>
  </si>
  <si>
    <t>DATA INPUT</t>
  </si>
  <si>
    <t>Order of Input</t>
  </si>
  <si>
    <r>
      <t>User should verify, but</t>
    </r>
    <r>
      <rPr>
        <b/>
        <sz val="10"/>
        <color rgb="FFFF0000"/>
        <rFont val="Arial"/>
        <family val="2"/>
      </rPr>
      <t xml:space="preserve"> not edit</t>
    </r>
    <r>
      <rPr>
        <b/>
        <sz val="10"/>
        <rFont val="Arial"/>
        <family val="2"/>
      </rPr>
      <t xml:space="preserve"> the following cells because these cells contain formulas or headings:</t>
    </r>
  </si>
  <si>
    <t>Automatic Value</t>
  </si>
  <si>
    <t>Background Value</t>
  </si>
  <si>
    <t>Table Heading (Scroll over sample heading for description of comments)</t>
  </si>
  <si>
    <t>Verify value in cell which is automatically calculated by formulas</t>
  </si>
  <si>
    <t>Verify value of force calculation</t>
  </si>
  <si>
    <t>Verify value of force balance or factor of safety calculation</t>
  </si>
  <si>
    <t>Optional - Verify value of background calculation (outside of print area)</t>
  </si>
  <si>
    <t>Ease of use</t>
  </si>
  <si>
    <t>Results:  Are they reasonable and verified?</t>
  </si>
  <si>
    <t>User is encouraged to provide comments and feedback for:</t>
  </si>
  <si>
    <t>Suitability:  Range of application or limitations</t>
  </si>
  <si>
    <t>Disclaimer:</t>
  </si>
  <si>
    <t xml:space="preserve">E-mail comments to:  </t>
  </si>
  <si>
    <r>
      <t>Stream bed D</t>
    </r>
    <r>
      <rPr>
        <b/>
        <vertAlign val="subscript"/>
        <sz val="10"/>
        <color rgb="FF003300"/>
        <rFont val="Arial"/>
        <family val="2"/>
      </rPr>
      <t xml:space="preserve">50          </t>
    </r>
    <r>
      <rPr>
        <b/>
        <sz val="10"/>
        <color rgb="FF003300"/>
        <rFont val="Arial"/>
        <family val="2"/>
      </rPr>
      <t>(mm)</t>
    </r>
  </si>
  <si>
    <r>
      <rPr>
        <b/>
        <vertAlign val="superscript"/>
        <sz val="10"/>
        <color rgb="FFFF0000"/>
        <rFont val="Arial"/>
        <family val="2"/>
      </rPr>
      <t>1</t>
    </r>
    <r>
      <rPr>
        <sz val="10"/>
        <rFont val="Arial"/>
        <family val="2"/>
      </rPr>
      <t xml:space="preserve"> </t>
    </r>
    <r>
      <rPr>
        <sz val="10"/>
        <rFont val="Symbol"/>
        <family val="1"/>
        <charset val="2"/>
      </rPr>
      <t>g</t>
    </r>
    <r>
      <rPr>
        <vertAlign val="subscript"/>
        <sz val="10"/>
        <rFont val="Arial"/>
        <family val="2"/>
      </rPr>
      <t>bed</t>
    </r>
    <r>
      <rPr>
        <sz val="10"/>
        <rFont val="Arial"/>
        <family val="2"/>
      </rPr>
      <t xml:space="preserve"> (kg/m</t>
    </r>
    <r>
      <rPr>
        <vertAlign val="superscript"/>
        <sz val="10"/>
        <rFont val="Arial"/>
        <family val="2"/>
      </rPr>
      <t>3</t>
    </r>
    <r>
      <rPr>
        <sz val="10"/>
        <rFont val="Arial"/>
        <family val="2"/>
      </rPr>
      <t>) = 1,600 + 300 log D</t>
    </r>
    <r>
      <rPr>
        <vertAlign val="subscript"/>
        <sz val="10"/>
        <rFont val="Arial"/>
        <family val="2"/>
      </rPr>
      <t>50</t>
    </r>
    <r>
      <rPr>
        <sz val="10"/>
        <rFont val="Arial"/>
        <family val="2"/>
      </rPr>
      <t xml:space="preserve"> (mm)   </t>
    </r>
  </si>
  <si>
    <t>Error Message</t>
  </si>
  <si>
    <t>"ERROR"</t>
  </si>
  <si>
    <t>"CHECK"</t>
  </si>
  <si>
    <t>Prompts user to check a specific input</t>
  </si>
  <si>
    <t>Prompts user to change a specific input</t>
  </si>
  <si>
    <r>
      <rPr>
        <b/>
        <sz val="10"/>
        <rFont val="Arial"/>
        <family val="2"/>
      </rPr>
      <t>User Input Note 3 -</t>
    </r>
    <r>
      <rPr>
        <sz val="10"/>
        <rFont val="Arial"/>
        <family val="2"/>
      </rPr>
      <t xml:space="preserve"> The spreadsheet is not locked, and therefore every cell can be manually edited.  However, the user is encouraged to </t>
    </r>
    <r>
      <rPr>
        <sz val="10"/>
        <color rgb="FFFF0000"/>
        <rFont val="Arial"/>
        <family val="2"/>
      </rPr>
      <t>exercise caution</t>
    </r>
    <r>
      <rPr>
        <sz val="10"/>
        <rFont val="Arial"/>
        <family val="2"/>
      </rPr>
      <t xml:space="preserve"> to avoid unintended consequences due to reference formulas.</t>
    </r>
  </si>
  <si>
    <t>Not Applicable</t>
  </si>
  <si>
    <t>Logs buried in bank with rootwads protruding into channel</t>
  </si>
  <si>
    <t>Weirs spanning small streams comprised of one or more large logs</t>
  </si>
  <si>
    <t>Net Buoyancy Force</t>
  </si>
  <si>
    <r>
      <t>d</t>
    </r>
    <r>
      <rPr>
        <b/>
        <vertAlign val="subscript"/>
        <sz val="10"/>
        <color theme="0" tint="-0.499984740745262"/>
        <rFont val="Arial"/>
        <family val="2"/>
      </rPr>
      <t>T</t>
    </r>
    <r>
      <rPr>
        <b/>
        <vertAlign val="subscript"/>
        <sz val="10"/>
        <color theme="0" tint="-0.499984740745262"/>
        <rFont val="Calibri"/>
        <family val="2"/>
      </rPr>
      <t>↓</t>
    </r>
    <r>
      <rPr>
        <b/>
        <vertAlign val="subscript"/>
        <sz val="10"/>
        <color theme="0" tint="-0.499984740745262"/>
        <rFont val="Arial"/>
        <family val="2"/>
      </rPr>
      <t>dw</t>
    </r>
  </si>
  <si>
    <r>
      <rPr>
        <b/>
        <sz val="10"/>
        <color theme="0" tint="-0.499984740745262"/>
        <rFont val="Calibri"/>
        <family val="2"/>
      </rPr>
      <t>↓</t>
    </r>
    <r>
      <rPr>
        <b/>
        <vertAlign val="subscript"/>
        <sz val="10"/>
        <color theme="0" tint="-0.499984740745262"/>
        <rFont val="Calibri"/>
        <family val="2"/>
      </rPr>
      <t>tw</t>
    </r>
    <r>
      <rPr>
        <b/>
        <sz val="10"/>
        <color theme="0" tint="-0.499984740745262"/>
        <rFont val="Arial"/>
        <family val="2"/>
      </rPr>
      <t>Condition</t>
    </r>
  </si>
  <si>
    <t>Large Wood "Below Thalweg" and "Below Water Surface" Depths</t>
  </si>
  <si>
    <t>Tilted Cylindrical (Stem) "Below Water Surface" Volume Calculation (Below High Flow)</t>
  </si>
  <si>
    <r>
      <rPr>
        <b/>
        <sz val="10"/>
        <color rgb="FF003300"/>
        <rFont val="Calibri"/>
        <family val="2"/>
      </rPr>
      <t>↓</t>
    </r>
    <r>
      <rPr>
        <b/>
        <sz val="10"/>
        <color rgb="FF003300"/>
        <rFont val="Arial"/>
        <family val="2"/>
      </rPr>
      <t>Thalweg</t>
    </r>
  </si>
  <si>
    <r>
      <rPr>
        <b/>
        <sz val="10"/>
        <color rgb="FF003300"/>
        <rFont val="Calibri"/>
        <family val="2"/>
      </rPr>
      <t>↑</t>
    </r>
    <r>
      <rPr>
        <b/>
        <sz val="10"/>
        <color rgb="FF003300"/>
        <rFont val="Arial"/>
        <family val="2"/>
      </rPr>
      <t>WSE</t>
    </r>
  </si>
  <si>
    <r>
      <rPr>
        <b/>
        <sz val="10"/>
        <color rgb="FF003300"/>
        <rFont val="Calibri"/>
        <family val="2"/>
      </rPr>
      <t>↓</t>
    </r>
    <r>
      <rPr>
        <b/>
        <sz val="10"/>
        <color rgb="FF003300"/>
        <rFont val="Arial"/>
        <family val="2"/>
      </rPr>
      <t>WS</t>
    </r>
    <r>
      <rPr>
        <b/>
        <sz val="10"/>
        <color rgb="FF003300"/>
        <rFont val="Calibri"/>
        <family val="2"/>
      </rPr>
      <t>↑</t>
    </r>
    <r>
      <rPr>
        <b/>
        <sz val="10"/>
        <color rgb="FF003300"/>
        <rFont val="Arial"/>
        <family val="2"/>
      </rPr>
      <t>Thw</t>
    </r>
  </si>
  <si>
    <t>Thw</t>
  </si>
  <si>
    <t>Thalweg (lowest elevation in channel bed)</t>
  </si>
  <si>
    <r>
      <rPr>
        <b/>
        <sz val="10"/>
        <color theme="0" tint="-0.499984740745262"/>
        <rFont val="Calibri"/>
        <family val="2"/>
      </rPr>
      <t>↓</t>
    </r>
    <r>
      <rPr>
        <b/>
        <vertAlign val="subscript"/>
        <sz val="10"/>
        <color theme="0" tint="-0.499984740745262"/>
        <rFont val="Calibri"/>
        <family val="2"/>
      </rPr>
      <t>WSE</t>
    </r>
    <r>
      <rPr>
        <b/>
        <sz val="10"/>
        <color theme="0" tint="-0.499984740745262"/>
        <rFont val="Arial"/>
        <family val="2"/>
      </rPr>
      <t>Condition</t>
    </r>
  </si>
  <si>
    <t>Reference Sheet - Anchoring Techniques</t>
  </si>
  <si>
    <t xml:space="preserve">1. No added stability -- where wood is supplied to the stream and allowed to be stable without manipulation or, as conditions develop, moved by the flow. </t>
  </si>
  <si>
    <t>2. Passive stability -- where the weight and shape of the structure is the anchor, and movement at some flow level is acceptable (includes ballast).</t>
  </si>
  <si>
    <t>3. Flexible stability -- such as tethering the structure so some degree of movement is allowed with varying flows.</t>
  </si>
  <si>
    <t>4. Rigid stability -- holding the logs permanently in place with no movement allowed.</t>
  </si>
  <si>
    <t>(Source: 2012 WA Stream Habitat Restoration Guidelines)</t>
  </si>
  <si>
    <t xml:space="preserve">Four common alternatives exist for securing or stabilizing placements of large wood in water. In order of preference for habitat formation, they are: </t>
  </si>
  <si>
    <t>Add coarse material soil lifts on top of structure to increase burial depth</t>
  </si>
  <si>
    <t>Place boulder on top of structure.  Alternatively, secure structure to boulder located beside or beneath structure.</t>
  </si>
  <si>
    <t>Drive or bury vertical wood piles into the bed or banks to brace structure.  Alternatively, brace structure against existing large tree.</t>
  </si>
  <si>
    <t>Technique</t>
  </si>
  <si>
    <t>Anchor/Ballast Technique Lookup Table</t>
  </si>
  <si>
    <r>
      <t>C</t>
    </r>
    <r>
      <rPr>
        <b/>
        <vertAlign val="subscript"/>
        <sz val="10"/>
        <color rgb="FF003300"/>
        <rFont val="Arial"/>
        <family val="2"/>
      </rPr>
      <t>LT</t>
    </r>
  </si>
  <si>
    <t>TO PRINT WORKBOOK</t>
  </si>
  <si>
    <r>
      <t>A</t>
    </r>
    <r>
      <rPr>
        <b/>
        <vertAlign val="subscript"/>
        <sz val="10"/>
        <color rgb="FF003300"/>
        <rFont val="Arial"/>
        <family val="2"/>
      </rPr>
      <t>Tp</t>
    </r>
    <r>
      <rPr>
        <b/>
        <sz val="10"/>
        <color rgb="FF003300"/>
        <rFont val="Arial"/>
        <family val="2"/>
      </rPr>
      <t xml:space="preserve"> / A</t>
    </r>
    <r>
      <rPr>
        <b/>
        <vertAlign val="subscript"/>
        <sz val="10"/>
        <color rgb="FF003300"/>
        <rFont val="Arial"/>
        <family val="2"/>
      </rPr>
      <t>W</t>
    </r>
  </si>
  <si>
    <r>
      <t>C</t>
    </r>
    <r>
      <rPr>
        <b/>
        <vertAlign val="subscript"/>
        <sz val="10"/>
        <color rgb="FF003300"/>
        <rFont val="Arial"/>
        <family val="2"/>
      </rPr>
      <t>Di</t>
    </r>
  </si>
  <si>
    <r>
      <t>C</t>
    </r>
    <r>
      <rPr>
        <b/>
        <vertAlign val="subscript"/>
        <sz val="10"/>
        <color rgb="FF006600"/>
        <rFont val="Arial"/>
        <family val="2"/>
      </rPr>
      <t>Di</t>
    </r>
    <r>
      <rPr>
        <b/>
        <sz val="10"/>
        <color rgb="FF006600"/>
        <rFont val="Arial"/>
        <family val="2"/>
      </rPr>
      <t xml:space="preserve"> Stem only</t>
    </r>
    <r>
      <rPr>
        <b/>
        <vertAlign val="superscript"/>
        <sz val="10"/>
        <color rgb="FFFF0000"/>
        <rFont val="Arial"/>
        <family val="2"/>
      </rPr>
      <t>1</t>
    </r>
  </si>
  <si>
    <r>
      <t>C</t>
    </r>
    <r>
      <rPr>
        <b/>
        <vertAlign val="subscript"/>
        <sz val="10"/>
        <color rgb="FF006600"/>
        <rFont val="Arial"/>
        <family val="2"/>
      </rPr>
      <t>Di</t>
    </r>
    <r>
      <rPr>
        <b/>
        <sz val="10"/>
        <color rgb="FF006600"/>
        <rFont val="Arial"/>
        <family val="2"/>
      </rPr>
      <t xml:space="preserve"> Stem + RW</t>
    </r>
  </si>
  <si>
    <r>
      <t>C</t>
    </r>
    <r>
      <rPr>
        <vertAlign val="subscript"/>
        <sz val="10"/>
        <rFont val="Arial"/>
        <family val="2"/>
      </rPr>
      <t>Di</t>
    </r>
    <r>
      <rPr>
        <sz val="10"/>
        <rFont val="Arial"/>
        <family val="2"/>
      </rPr>
      <t xml:space="preserve"> = 1.1173 - (5.2800*10</t>
    </r>
    <r>
      <rPr>
        <vertAlign val="superscript"/>
        <sz val="10"/>
        <rFont val="Arial"/>
        <family val="2"/>
      </rPr>
      <t>-2</t>
    </r>
    <r>
      <rPr>
        <sz val="10"/>
        <rFont val="Arial"/>
        <family val="2"/>
      </rPr>
      <t xml:space="preserve">) </t>
    </r>
    <r>
      <rPr>
        <sz val="10"/>
        <rFont val="Symbol"/>
        <family val="1"/>
        <charset val="2"/>
      </rPr>
      <t>q</t>
    </r>
    <r>
      <rPr>
        <sz val="10"/>
        <rFont val="Arial"/>
        <family val="2"/>
      </rPr>
      <t xml:space="preserve"> + (1.4385*10</t>
    </r>
    <r>
      <rPr>
        <vertAlign val="superscript"/>
        <sz val="10"/>
        <rFont val="Arial"/>
        <family val="2"/>
      </rPr>
      <t>-3</t>
    </r>
    <r>
      <rPr>
        <sz val="10"/>
        <rFont val="Arial"/>
        <family val="2"/>
      </rPr>
      <t xml:space="preserve">) </t>
    </r>
    <r>
      <rPr>
        <sz val="10"/>
        <rFont val="Symbol"/>
        <family val="1"/>
        <charset val="2"/>
      </rPr>
      <t>q</t>
    </r>
    <r>
      <rPr>
        <vertAlign val="superscript"/>
        <sz val="10"/>
        <rFont val="Arial"/>
        <family val="2"/>
      </rPr>
      <t>2</t>
    </r>
    <r>
      <rPr>
        <sz val="10"/>
        <rFont val="Arial"/>
        <family val="2"/>
      </rPr>
      <t xml:space="preserve"> - (9.7668*10</t>
    </r>
    <r>
      <rPr>
        <vertAlign val="superscript"/>
        <sz val="10"/>
        <rFont val="Arial"/>
        <family val="2"/>
      </rPr>
      <t>-6</t>
    </r>
    <r>
      <rPr>
        <sz val="10"/>
        <rFont val="Arial"/>
        <family val="2"/>
      </rPr>
      <t xml:space="preserve">) </t>
    </r>
    <r>
      <rPr>
        <sz val="10"/>
        <rFont val="Symbol"/>
        <family val="1"/>
        <charset val="2"/>
      </rPr>
      <t>q</t>
    </r>
    <r>
      <rPr>
        <vertAlign val="superscript"/>
        <sz val="10"/>
        <rFont val="Arial"/>
        <family val="2"/>
      </rPr>
      <t>3</t>
    </r>
  </si>
  <si>
    <r>
      <t>C</t>
    </r>
    <r>
      <rPr>
        <b/>
        <vertAlign val="subscript"/>
        <sz val="10"/>
        <rFont val="Arial"/>
        <family val="2"/>
      </rPr>
      <t>Di</t>
    </r>
    <r>
      <rPr>
        <b/>
        <sz val="10"/>
        <rFont val="Arial"/>
        <family val="2"/>
      </rPr>
      <t xml:space="preserve"> for Stem Only (i.e., RW is not in contact with streamflow)</t>
    </r>
  </si>
  <si>
    <r>
      <t>z</t>
    </r>
    <r>
      <rPr>
        <b/>
        <vertAlign val="subscript"/>
        <sz val="10"/>
        <color theme="0" tint="-0.499984740745262"/>
        <rFont val="Arial"/>
        <family val="2"/>
      </rPr>
      <t>T,CL</t>
    </r>
    <r>
      <rPr>
        <b/>
        <vertAlign val="subscript"/>
        <sz val="10"/>
        <color theme="0" tint="-0.499984740745262"/>
        <rFont val="Calibri"/>
        <family val="2"/>
      </rPr>
      <t>↓</t>
    </r>
    <r>
      <rPr>
        <b/>
        <vertAlign val="subscript"/>
        <sz val="10"/>
        <color theme="0" tint="-0.499984740745262"/>
        <rFont val="Arial"/>
        <family val="2"/>
      </rPr>
      <t>WSE</t>
    </r>
  </si>
  <si>
    <r>
      <t>C</t>
    </r>
    <r>
      <rPr>
        <b/>
        <vertAlign val="subscript"/>
        <sz val="10"/>
        <color theme="0" tint="-0.499984740745262"/>
        <rFont val="Arial"/>
        <family val="2"/>
      </rPr>
      <t>W</t>
    </r>
  </si>
  <si>
    <t>The "Single Log" and "Multi-Log" spreadsheets have several built-in error messages (in column 'K'):</t>
  </si>
  <si>
    <r>
      <t>L</t>
    </r>
    <r>
      <rPr>
        <b/>
        <vertAlign val="subscript"/>
        <sz val="10"/>
        <color rgb="FF003300"/>
        <rFont val="Arial"/>
        <family val="2"/>
      </rPr>
      <t>Tf</t>
    </r>
    <r>
      <rPr>
        <b/>
        <sz val="10"/>
        <color rgb="FF003300"/>
        <rFont val="Arial"/>
        <family val="2"/>
      </rPr>
      <t xml:space="preserve"> (ft)</t>
    </r>
  </si>
  <si>
    <r>
      <t>L</t>
    </r>
    <r>
      <rPr>
        <b/>
        <vertAlign val="subscript"/>
        <sz val="10"/>
        <color theme="0" tint="-0.499984740745262"/>
        <rFont val="Arial"/>
        <family val="2"/>
      </rPr>
      <t>Tf,tot</t>
    </r>
    <r>
      <rPr>
        <b/>
        <sz val="10"/>
        <color theme="0" tint="-0.499984740745262"/>
        <rFont val="Arial"/>
        <family val="2"/>
      </rPr>
      <t xml:space="preserve"> (ft)</t>
    </r>
  </si>
  <si>
    <r>
      <t>L</t>
    </r>
    <r>
      <rPr>
        <b/>
        <vertAlign val="subscript"/>
        <sz val="10"/>
        <color theme="0" tint="-0.499984740745262"/>
        <rFont val="Arial"/>
        <family val="2"/>
      </rPr>
      <t>Tf,bed</t>
    </r>
    <r>
      <rPr>
        <b/>
        <sz val="10"/>
        <color theme="0" tint="-0.499984740745262"/>
        <rFont val="Arial"/>
        <family val="2"/>
      </rPr>
      <t xml:space="preserve"> (ft)</t>
    </r>
  </si>
  <si>
    <r>
      <t>L</t>
    </r>
    <r>
      <rPr>
        <b/>
        <vertAlign val="subscript"/>
        <sz val="10"/>
        <color theme="0" tint="-0.499984740745262"/>
        <rFont val="Arial"/>
        <family val="2"/>
      </rPr>
      <t>Tf,banks</t>
    </r>
    <r>
      <rPr>
        <b/>
        <sz val="10"/>
        <color theme="0" tint="-0.499984740745262"/>
        <rFont val="Arial"/>
        <family val="2"/>
      </rPr>
      <t xml:space="preserve"> (ft)</t>
    </r>
  </si>
  <si>
    <r>
      <t>FS</t>
    </r>
    <r>
      <rPr>
        <b/>
        <vertAlign val="subscript"/>
        <sz val="10"/>
        <color theme="0"/>
        <rFont val="Arial"/>
        <family val="2"/>
      </rPr>
      <t>V</t>
    </r>
  </si>
  <si>
    <t>Factor of Safety for Vertical Force Balance</t>
  </si>
  <si>
    <t>Factor of Safety for Horizontal Force Balance</t>
  </si>
  <si>
    <t>Factor of Safety for Moment Force Balance</t>
  </si>
  <si>
    <r>
      <t>FS</t>
    </r>
    <r>
      <rPr>
        <vertAlign val="subscript"/>
        <sz val="10"/>
        <rFont val="Arial"/>
        <family val="2"/>
      </rPr>
      <t>V</t>
    </r>
  </si>
  <si>
    <r>
      <t>FS</t>
    </r>
    <r>
      <rPr>
        <vertAlign val="subscript"/>
        <sz val="10"/>
        <rFont val="Arial"/>
        <family val="2"/>
      </rPr>
      <t>H</t>
    </r>
  </si>
  <si>
    <r>
      <t>FS</t>
    </r>
    <r>
      <rPr>
        <vertAlign val="subscript"/>
        <sz val="10"/>
        <rFont val="Arial"/>
        <family val="2"/>
      </rPr>
      <t>M</t>
    </r>
  </si>
  <si>
    <t>Factors of Safety and Design Constants</t>
  </si>
  <si>
    <r>
      <rPr>
        <b/>
        <sz val="10"/>
        <color rgb="FF003300"/>
        <rFont val="Symbol"/>
        <family val="1"/>
        <charset val="2"/>
      </rPr>
      <t xml:space="preserve">S </t>
    </r>
    <r>
      <rPr>
        <b/>
        <sz val="10"/>
        <color rgb="FF003300"/>
        <rFont val="Arial"/>
        <family val="2"/>
      </rPr>
      <t>F</t>
    </r>
    <r>
      <rPr>
        <b/>
        <vertAlign val="subscript"/>
        <sz val="10"/>
        <color rgb="FF003300"/>
        <rFont val="Arial"/>
        <family val="2"/>
      </rPr>
      <t>V</t>
    </r>
    <r>
      <rPr>
        <b/>
        <sz val="10"/>
        <color rgb="FF003300"/>
        <rFont val="Arial"/>
        <family val="2"/>
      </rPr>
      <t xml:space="preserve"> (lbf)</t>
    </r>
  </si>
  <si>
    <r>
      <rPr>
        <b/>
        <sz val="10"/>
        <color rgb="FF003300"/>
        <rFont val="Symbol"/>
        <family val="1"/>
        <charset val="2"/>
      </rPr>
      <t xml:space="preserve">S </t>
    </r>
    <r>
      <rPr>
        <b/>
        <sz val="10"/>
        <color rgb="FF003300"/>
        <rFont val="Arial"/>
        <family val="2"/>
      </rPr>
      <t>F</t>
    </r>
    <r>
      <rPr>
        <b/>
        <vertAlign val="subscript"/>
        <sz val="10"/>
        <color rgb="FF003300"/>
        <rFont val="Arial"/>
        <family val="2"/>
      </rPr>
      <t>H</t>
    </r>
    <r>
      <rPr>
        <b/>
        <sz val="10"/>
        <color rgb="FF003300"/>
        <rFont val="Arial"/>
        <family val="2"/>
      </rPr>
      <t xml:space="preserve"> (lbf)</t>
    </r>
  </si>
  <si>
    <r>
      <t>FS</t>
    </r>
    <r>
      <rPr>
        <b/>
        <vertAlign val="subscript"/>
        <sz val="10"/>
        <color theme="0"/>
        <rFont val="Arial"/>
        <family val="2"/>
      </rPr>
      <t>H</t>
    </r>
  </si>
  <si>
    <r>
      <rPr>
        <sz val="10"/>
        <color rgb="FFFF0000"/>
        <rFont val="Calibri"/>
        <family val="2"/>
      </rPr>
      <t>←</t>
    </r>
    <r>
      <rPr>
        <sz val="10"/>
        <color rgb="FFFF0000"/>
        <rFont val="Arial"/>
        <family val="2"/>
      </rPr>
      <t xml:space="preserve"> (Note - This design tool may be used by practitioners if they cite the developer on each sheet)</t>
    </r>
  </si>
  <si>
    <r>
      <rPr>
        <b/>
        <sz val="10"/>
        <rFont val="Arial"/>
        <family val="2"/>
      </rPr>
      <t xml:space="preserve">This design tool may be used by practitioners if they </t>
    </r>
    <r>
      <rPr>
        <b/>
        <u/>
        <sz val="10"/>
        <color rgb="FFC00000"/>
        <rFont val="Arial"/>
        <family val="2"/>
      </rPr>
      <t>cite the developer on each sheet</t>
    </r>
    <r>
      <rPr>
        <b/>
        <sz val="10"/>
        <color rgb="FF002060"/>
        <rFont val="Arial"/>
        <family val="2"/>
      </rPr>
      <t>.</t>
    </r>
  </si>
  <si>
    <r>
      <rPr>
        <b/>
        <vertAlign val="superscript"/>
        <sz val="10"/>
        <color rgb="FFFF0000"/>
        <rFont val="Arial"/>
        <family val="2"/>
      </rPr>
      <t>1</t>
    </r>
    <r>
      <rPr>
        <sz val="10"/>
        <rFont val="Arial"/>
        <family val="2"/>
      </rPr>
      <t xml:space="preserve"> </t>
    </r>
    <r>
      <rPr>
        <b/>
        <sz val="10"/>
        <rFont val="Arial"/>
        <family val="2"/>
      </rPr>
      <t xml:space="preserve">Air-dried unit weight, </t>
    </r>
    <r>
      <rPr>
        <b/>
        <sz val="10"/>
        <rFont val="Symbol"/>
        <family val="1"/>
        <charset val="2"/>
      </rPr>
      <t>g</t>
    </r>
    <r>
      <rPr>
        <b/>
        <vertAlign val="subscript"/>
        <sz val="10"/>
        <rFont val="Arial"/>
        <family val="2"/>
      </rPr>
      <t>Td</t>
    </r>
    <r>
      <rPr>
        <sz val="10"/>
        <rFont val="Arial"/>
        <family val="2"/>
      </rPr>
      <t xml:space="preserve"> = Average unit weight of wood after exposure to air on a 12% moisture content volume basis.  Air-dried unit weight is used in the force balance calculations for the portion of wood that is above the proposed thalweg elevation (assuming unsaturated conditions).</t>
    </r>
  </si>
  <si>
    <r>
      <rPr>
        <b/>
        <vertAlign val="superscript"/>
        <sz val="10"/>
        <color rgb="FFFF0000"/>
        <rFont val="Arial"/>
        <family val="2"/>
      </rPr>
      <t>2</t>
    </r>
    <r>
      <rPr>
        <sz val="10"/>
        <rFont val="Arial"/>
        <family val="2"/>
      </rPr>
      <t xml:space="preserve"> </t>
    </r>
    <r>
      <rPr>
        <b/>
        <sz val="10"/>
        <rFont val="Arial"/>
        <family val="2"/>
      </rPr>
      <t xml:space="preserve">Green unit weight, </t>
    </r>
    <r>
      <rPr>
        <b/>
        <sz val="10"/>
        <rFont val="Symbol"/>
        <family val="1"/>
        <charset val="2"/>
      </rPr>
      <t>g</t>
    </r>
    <r>
      <rPr>
        <b/>
        <vertAlign val="subscript"/>
        <sz val="10"/>
        <rFont val="Arial"/>
        <family val="2"/>
      </rPr>
      <t>Tgr</t>
    </r>
    <r>
      <rPr>
        <sz val="10"/>
        <rFont val="Arial"/>
        <family val="2"/>
      </rPr>
      <t xml:space="preserve"> = Average unit weight of freshly sawn wood when the cell walls are completely saturated with water. Green unit weight is used in the force balance calculations as a conservative estimate of the unit weight for the portion of wood that is below the proposed thalweg elevation (assuming saturated conditions). For comparison, Thevenet, Citterio, &amp; Piegay (1998) determined wood unit weight typically increases by more than 100% after less than 24 hours exposure to water.</t>
    </r>
  </si>
  <si>
    <t>Page 2</t>
  </si>
  <si>
    <t>Secure structure to soil anchor which uses overlying soil to resist pullout.  Alternatively, secure the structure to bedrock using a rock anchor.</t>
  </si>
  <si>
    <t>Mechanical Anchor</t>
  </si>
  <si>
    <t>Boulder Ballast</t>
  </si>
  <si>
    <t>Added Soil Ballast</t>
  </si>
  <si>
    <r>
      <t>FS</t>
    </r>
    <r>
      <rPr>
        <b/>
        <vertAlign val="subscript"/>
        <sz val="10"/>
        <color theme="0"/>
        <rFont val="Arial"/>
        <family val="2"/>
      </rPr>
      <t>M</t>
    </r>
  </si>
  <si>
    <t>Mechanical Anchors</t>
  </si>
  <si>
    <t>Custom#1</t>
  </si>
  <si>
    <t>Custom#2</t>
  </si>
  <si>
    <t>Custom#3</t>
  </si>
  <si>
    <r>
      <t>L</t>
    </r>
    <r>
      <rPr>
        <b/>
        <vertAlign val="subscript"/>
        <sz val="10"/>
        <color theme="0" tint="-0.499984740745262"/>
        <rFont val="Arial"/>
        <family val="2"/>
      </rPr>
      <t>em,bot</t>
    </r>
    <r>
      <rPr>
        <b/>
        <sz val="10"/>
        <color theme="0" tint="-0.499984740745262"/>
        <rFont val="Arial"/>
        <family val="2"/>
      </rPr>
      <t xml:space="preserve"> (ft)</t>
    </r>
  </si>
  <si>
    <t>user input</t>
  </si>
  <si>
    <r>
      <t>V</t>
    </r>
    <r>
      <rPr>
        <b/>
        <vertAlign val="subscript"/>
        <sz val="10"/>
        <color rgb="FF003300"/>
        <rFont val="Arial"/>
        <family val="2"/>
      </rPr>
      <t>r,dry</t>
    </r>
    <r>
      <rPr>
        <b/>
        <sz val="10"/>
        <color rgb="FF003300"/>
        <rFont val="Arial"/>
        <family val="2"/>
      </rPr>
      <t xml:space="preserve"> (ft</t>
    </r>
    <r>
      <rPr>
        <b/>
        <vertAlign val="superscript"/>
        <sz val="10"/>
        <color rgb="FF003300"/>
        <rFont val="Arial"/>
        <family val="2"/>
      </rPr>
      <t>3</t>
    </r>
    <r>
      <rPr>
        <b/>
        <sz val="10"/>
        <color rgb="FF003300"/>
        <rFont val="Arial"/>
        <family val="2"/>
      </rPr>
      <t>)</t>
    </r>
  </si>
  <si>
    <r>
      <t>V</t>
    </r>
    <r>
      <rPr>
        <b/>
        <vertAlign val="subscript"/>
        <sz val="10"/>
        <color rgb="FF003300"/>
        <rFont val="Arial"/>
        <family val="2"/>
      </rPr>
      <t>r,wet</t>
    </r>
    <r>
      <rPr>
        <b/>
        <sz val="10"/>
        <color rgb="FF003300"/>
        <rFont val="Arial"/>
        <family val="2"/>
      </rPr>
      <t xml:space="preserve"> (ft</t>
    </r>
    <r>
      <rPr>
        <b/>
        <vertAlign val="superscript"/>
        <sz val="10"/>
        <color rgb="FF003300"/>
        <rFont val="Arial"/>
        <family val="2"/>
      </rPr>
      <t>3</t>
    </r>
    <r>
      <rPr>
        <b/>
        <sz val="10"/>
        <color rgb="FF003300"/>
        <rFont val="Arial"/>
        <family val="2"/>
      </rPr>
      <t>)</t>
    </r>
  </si>
  <si>
    <r>
      <t>F</t>
    </r>
    <r>
      <rPr>
        <b/>
        <vertAlign val="subscript"/>
        <sz val="10"/>
        <color rgb="FF003300"/>
        <rFont val="Arial"/>
        <family val="2"/>
      </rPr>
      <t>L,r</t>
    </r>
    <r>
      <rPr>
        <b/>
        <sz val="10"/>
        <color rgb="FF003300"/>
        <rFont val="Arial"/>
        <family val="2"/>
      </rPr>
      <t xml:space="preserve"> (lbf)</t>
    </r>
  </si>
  <si>
    <r>
      <t>F</t>
    </r>
    <r>
      <rPr>
        <b/>
        <vertAlign val="subscript"/>
        <sz val="10"/>
        <color rgb="FF003300"/>
        <rFont val="Arial"/>
        <family val="2"/>
      </rPr>
      <t>A,Vr</t>
    </r>
    <r>
      <rPr>
        <b/>
        <sz val="10"/>
        <color rgb="FF003300"/>
        <rFont val="Arial"/>
        <family val="2"/>
      </rPr>
      <t xml:space="preserve"> (lbf)</t>
    </r>
  </si>
  <si>
    <r>
      <t>F</t>
    </r>
    <r>
      <rPr>
        <b/>
        <vertAlign val="subscript"/>
        <sz val="10"/>
        <color rgb="FF003300"/>
        <rFont val="Arial"/>
        <family val="2"/>
      </rPr>
      <t>A,Hr</t>
    </r>
    <r>
      <rPr>
        <b/>
        <sz val="10"/>
        <color rgb="FF003300"/>
        <rFont val="Arial"/>
        <family val="2"/>
      </rPr>
      <t xml:space="preserve"> (lbf)</t>
    </r>
  </si>
  <si>
    <r>
      <t>C</t>
    </r>
    <r>
      <rPr>
        <vertAlign val="subscript"/>
        <sz val="10"/>
        <rFont val="Arial"/>
        <family val="2"/>
      </rPr>
      <t>Lrock</t>
    </r>
  </si>
  <si>
    <t>Coefficient of lift for submerged boulder (D’Aoust, 2000)</t>
  </si>
  <si>
    <r>
      <t>D</t>
    </r>
    <r>
      <rPr>
        <b/>
        <vertAlign val="subscript"/>
        <sz val="10"/>
        <color rgb="FF003300"/>
        <rFont val="Arial"/>
        <family val="2"/>
      </rPr>
      <t>r</t>
    </r>
    <r>
      <rPr>
        <b/>
        <sz val="10"/>
        <color rgb="FF003300"/>
        <rFont val="Arial"/>
        <family val="2"/>
      </rPr>
      <t xml:space="preserve"> (ft)</t>
    </r>
  </si>
  <si>
    <t>Tilted Frustum (RW) Volume Calculation (Slice Method)</t>
  </si>
  <si>
    <t>Slice #</t>
  </si>
  <si>
    <t>Slice thickness (ft) =</t>
  </si>
  <si>
    <r>
      <t>y</t>
    </r>
    <r>
      <rPr>
        <vertAlign val="subscript"/>
        <sz val="10"/>
        <color theme="0" tint="-0.499984740745262"/>
        <rFont val="Arial"/>
        <family val="2"/>
      </rPr>
      <t>RW,crown</t>
    </r>
    <r>
      <rPr>
        <sz val="10"/>
        <color theme="0" tint="-0.499984740745262"/>
        <rFont val="Arial"/>
        <family val="2"/>
      </rPr>
      <t xml:space="preserve"> (ft) =</t>
    </r>
  </si>
  <si>
    <r>
      <t>y</t>
    </r>
    <r>
      <rPr>
        <vertAlign val="subscript"/>
        <sz val="10"/>
        <color theme="0" tint="-0.499984740745262"/>
        <rFont val="Arial"/>
        <family val="2"/>
      </rPr>
      <t>RC,crown</t>
    </r>
    <r>
      <rPr>
        <sz val="10"/>
        <color theme="0" tint="-0.499984740745262"/>
        <rFont val="Arial"/>
        <family val="2"/>
      </rPr>
      <t xml:space="preserve"> (ft) =</t>
    </r>
  </si>
  <si>
    <r>
      <t>y</t>
    </r>
    <r>
      <rPr>
        <vertAlign val="subscript"/>
        <sz val="10"/>
        <color theme="0" tint="-0.499984740745262"/>
        <rFont val="Arial"/>
        <family val="2"/>
      </rPr>
      <t>RW,bot</t>
    </r>
    <r>
      <rPr>
        <sz val="10"/>
        <color theme="0" tint="-0.499984740745262"/>
        <rFont val="Arial"/>
        <family val="2"/>
      </rPr>
      <t xml:space="preserve"> (ft) =</t>
    </r>
  </si>
  <si>
    <r>
      <t>y</t>
    </r>
    <r>
      <rPr>
        <vertAlign val="subscript"/>
        <sz val="10"/>
        <color theme="0" tint="-0.499984740745262"/>
        <rFont val="Arial"/>
        <family val="2"/>
      </rPr>
      <t>RC,bot</t>
    </r>
    <r>
      <rPr>
        <sz val="10"/>
        <color theme="0" tint="-0.499984740745262"/>
        <rFont val="Arial"/>
        <family val="2"/>
      </rPr>
      <t xml:space="preserve"> (ft) =</t>
    </r>
  </si>
  <si>
    <t>WSE (ft) =</t>
  </si>
  <si>
    <r>
      <t>R</t>
    </r>
    <r>
      <rPr>
        <vertAlign val="subscript"/>
        <sz val="10"/>
        <color theme="0" tint="-0.499984740745262"/>
        <rFont val="Arial"/>
        <family val="2"/>
      </rPr>
      <t>RW</t>
    </r>
    <r>
      <rPr>
        <sz val="10"/>
        <color theme="0" tint="-0.499984740745262"/>
        <rFont val="Arial"/>
        <family val="2"/>
      </rPr>
      <t xml:space="preserve"> (ft) =</t>
    </r>
  </si>
  <si>
    <r>
      <t>R</t>
    </r>
    <r>
      <rPr>
        <vertAlign val="subscript"/>
        <sz val="10"/>
        <color theme="0" tint="-0.499984740745262"/>
        <rFont val="Arial"/>
        <family val="2"/>
      </rPr>
      <t>TS</t>
    </r>
    <r>
      <rPr>
        <sz val="10"/>
        <color theme="0" tint="-0.499984740745262"/>
        <rFont val="Arial"/>
        <family val="2"/>
      </rPr>
      <t xml:space="preserve"> (ft) =</t>
    </r>
  </si>
  <si>
    <t>Thalweg Elevation (ft) =</t>
  </si>
  <si>
    <r>
      <t>x</t>
    </r>
    <r>
      <rPr>
        <b/>
        <vertAlign val="subscript"/>
        <sz val="10"/>
        <color theme="0" tint="-0.499984740745262"/>
        <rFont val="Arial"/>
        <family val="2"/>
      </rPr>
      <t>RW,avg</t>
    </r>
    <r>
      <rPr>
        <b/>
        <sz val="10"/>
        <color theme="0" tint="-0.499984740745262"/>
        <rFont val="Arial"/>
        <family val="2"/>
      </rPr>
      <t xml:space="preserve"> (ft)</t>
    </r>
  </si>
  <si>
    <r>
      <t>R</t>
    </r>
    <r>
      <rPr>
        <b/>
        <vertAlign val="subscript"/>
        <sz val="10"/>
        <color theme="0" tint="-0.499984740745262"/>
        <rFont val="Arial"/>
        <family val="2"/>
      </rPr>
      <t>RW,slice</t>
    </r>
    <r>
      <rPr>
        <b/>
        <sz val="10"/>
        <color theme="0" tint="-0.499984740745262"/>
        <rFont val="Arial"/>
        <family val="2"/>
      </rPr>
      <t xml:space="preserve"> (ft)</t>
    </r>
  </si>
  <si>
    <r>
      <t>A</t>
    </r>
    <r>
      <rPr>
        <b/>
        <vertAlign val="subscript"/>
        <sz val="10"/>
        <color theme="0" tint="-0.499984740745262"/>
        <rFont val="Arial"/>
        <family val="2"/>
      </rPr>
      <t>slice,avg</t>
    </r>
    <r>
      <rPr>
        <b/>
        <sz val="10"/>
        <color theme="0" tint="-0.499984740745262"/>
        <rFont val="Arial"/>
        <family val="2"/>
      </rPr>
      <t xml:space="preserve"> (ft)</t>
    </r>
  </si>
  <si>
    <r>
      <t>V</t>
    </r>
    <r>
      <rPr>
        <b/>
        <vertAlign val="subscript"/>
        <sz val="10"/>
        <color theme="0" tint="-0.499984740745262"/>
        <rFont val="Arial"/>
        <family val="2"/>
      </rPr>
      <t>slice</t>
    </r>
    <r>
      <rPr>
        <b/>
        <sz val="10"/>
        <color theme="0" tint="-0.499984740745262"/>
        <rFont val="Arial"/>
        <family val="2"/>
      </rPr>
      <t xml:space="preserve"> (ft</t>
    </r>
    <r>
      <rPr>
        <b/>
        <vertAlign val="superscript"/>
        <sz val="10"/>
        <color theme="0" tint="-0.499984740745262"/>
        <rFont val="Arial"/>
        <family val="2"/>
      </rPr>
      <t>3</t>
    </r>
    <r>
      <rPr>
        <b/>
        <sz val="10"/>
        <color theme="0" tint="-0.499984740745262"/>
        <rFont val="Arial"/>
        <family val="2"/>
      </rPr>
      <t>)</t>
    </r>
  </si>
  <si>
    <r>
      <t>y</t>
    </r>
    <r>
      <rPr>
        <b/>
        <vertAlign val="subscript"/>
        <sz val="10"/>
        <color theme="0" tint="-0.499984740745262"/>
        <rFont val="Arial"/>
        <family val="2"/>
      </rPr>
      <t>crown,avg</t>
    </r>
    <r>
      <rPr>
        <b/>
        <sz val="10"/>
        <color theme="0" tint="-0.499984740745262"/>
        <rFont val="Arial"/>
        <family val="2"/>
      </rPr>
      <t xml:space="preserve"> (ft)</t>
    </r>
  </si>
  <si>
    <r>
      <t>y</t>
    </r>
    <r>
      <rPr>
        <b/>
        <vertAlign val="subscript"/>
        <sz val="10"/>
        <color theme="0" tint="-0.499984740745262"/>
        <rFont val="Arial"/>
        <family val="2"/>
      </rPr>
      <t>bot,avg</t>
    </r>
    <r>
      <rPr>
        <b/>
        <sz val="10"/>
        <color theme="0" tint="-0.499984740745262"/>
        <rFont val="Arial"/>
        <family val="2"/>
      </rPr>
      <t xml:space="preserve"> (ft)</t>
    </r>
  </si>
  <si>
    <r>
      <t>h</t>
    </r>
    <r>
      <rPr>
        <b/>
        <vertAlign val="subscript"/>
        <sz val="10"/>
        <color theme="0" tint="-0.499984740745262"/>
        <rFont val="Arial"/>
        <family val="2"/>
      </rPr>
      <t>RW,cr,</t>
    </r>
    <r>
      <rPr>
        <b/>
        <vertAlign val="subscript"/>
        <sz val="10"/>
        <color theme="0" tint="-0.499984740745262"/>
        <rFont val="Calibri"/>
        <family val="2"/>
      </rPr>
      <t>↑</t>
    </r>
    <r>
      <rPr>
        <b/>
        <vertAlign val="subscript"/>
        <sz val="10"/>
        <color theme="0" tint="-0.499984740745262"/>
        <rFont val="Arial"/>
        <family val="2"/>
      </rPr>
      <t>WSE</t>
    </r>
    <r>
      <rPr>
        <b/>
        <sz val="10"/>
        <color theme="0" tint="-0.499984740745262"/>
        <rFont val="Arial"/>
        <family val="2"/>
      </rPr>
      <t xml:space="preserve"> (ft)</t>
    </r>
  </si>
  <si>
    <r>
      <t>A</t>
    </r>
    <r>
      <rPr>
        <b/>
        <vertAlign val="subscript"/>
        <sz val="10"/>
        <color theme="0" tint="-0.499984740745262"/>
        <rFont val="Arial"/>
        <family val="2"/>
      </rPr>
      <t>RW,</t>
    </r>
    <r>
      <rPr>
        <b/>
        <vertAlign val="subscript"/>
        <sz val="10"/>
        <color theme="0" tint="-0.499984740745262"/>
        <rFont val="Calibri"/>
        <family val="2"/>
      </rPr>
      <t>↑</t>
    </r>
    <r>
      <rPr>
        <b/>
        <vertAlign val="subscript"/>
        <sz val="10"/>
        <color theme="0" tint="-0.499984740745262"/>
        <rFont val="Arial"/>
        <family val="2"/>
      </rPr>
      <t>WSE</t>
    </r>
    <r>
      <rPr>
        <b/>
        <sz val="10"/>
        <color theme="0" tint="-0.499984740745262"/>
        <rFont val="Arial"/>
        <family val="2"/>
      </rPr>
      <t xml:space="preserve"> (ft</t>
    </r>
    <r>
      <rPr>
        <b/>
        <vertAlign val="superscript"/>
        <sz val="10"/>
        <color theme="0" tint="-0.499984740745262"/>
        <rFont val="Arial"/>
        <family val="2"/>
      </rPr>
      <t>2</t>
    </r>
    <r>
      <rPr>
        <b/>
        <sz val="10"/>
        <color theme="0" tint="-0.499984740745262"/>
        <rFont val="Arial"/>
        <family val="2"/>
      </rPr>
      <t>)</t>
    </r>
  </si>
  <si>
    <r>
      <t>V</t>
    </r>
    <r>
      <rPr>
        <b/>
        <vertAlign val="subscript"/>
        <sz val="10"/>
        <color theme="0" tint="-0.499984740745262"/>
        <rFont val="Arial"/>
        <family val="2"/>
      </rPr>
      <t>RW,</t>
    </r>
    <r>
      <rPr>
        <b/>
        <vertAlign val="subscript"/>
        <sz val="10"/>
        <color theme="0" tint="-0.499984740745262"/>
        <rFont val="Calibri"/>
        <family val="2"/>
      </rPr>
      <t>↑</t>
    </r>
    <r>
      <rPr>
        <b/>
        <vertAlign val="subscript"/>
        <sz val="10"/>
        <color theme="0" tint="-0.499984740745262"/>
        <rFont val="Arial"/>
        <family val="2"/>
      </rPr>
      <t>WSE</t>
    </r>
    <r>
      <rPr>
        <b/>
        <sz val="10"/>
        <color theme="0" tint="-0.499984740745262"/>
        <rFont val="Arial"/>
        <family val="2"/>
      </rPr>
      <t xml:space="preserve"> (ft</t>
    </r>
    <r>
      <rPr>
        <b/>
        <vertAlign val="superscript"/>
        <sz val="10"/>
        <color theme="0" tint="-0.499984740745262"/>
        <rFont val="Arial"/>
        <family val="2"/>
      </rPr>
      <t>3</t>
    </r>
    <r>
      <rPr>
        <b/>
        <sz val="10"/>
        <color theme="0" tint="-0.499984740745262"/>
        <rFont val="Arial"/>
        <family val="2"/>
      </rPr>
      <t>)</t>
    </r>
  </si>
  <si>
    <r>
      <t>h</t>
    </r>
    <r>
      <rPr>
        <b/>
        <vertAlign val="subscript"/>
        <sz val="10"/>
        <color theme="0" tint="-0.499984740745262"/>
        <rFont val="Arial"/>
        <family val="2"/>
      </rPr>
      <t>RW,bot,</t>
    </r>
    <r>
      <rPr>
        <b/>
        <vertAlign val="subscript"/>
        <sz val="10"/>
        <color theme="0" tint="-0.499984740745262"/>
        <rFont val="Calibri"/>
        <family val="2"/>
      </rPr>
      <t>↓</t>
    </r>
    <r>
      <rPr>
        <b/>
        <vertAlign val="subscript"/>
        <sz val="10"/>
        <color theme="0" tint="-0.499984740745262"/>
        <rFont val="Arial"/>
        <family val="2"/>
      </rPr>
      <t>thw</t>
    </r>
    <r>
      <rPr>
        <b/>
        <sz val="10"/>
        <color theme="0" tint="-0.499984740745262"/>
        <rFont val="Arial"/>
        <family val="2"/>
      </rPr>
      <t xml:space="preserve"> (ft)</t>
    </r>
  </si>
  <si>
    <r>
      <t>A</t>
    </r>
    <r>
      <rPr>
        <b/>
        <vertAlign val="subscript"/>
        <sz val="10"/>
        <color theme="0" tint="-0.499984740745262"/>
        <rFont val="Arial"/>
        <family val="2"/>
      </rPr>
      <t>RW,</t>
    </r>
    <r>
      <rPr>
        <b/>
        <vertAlign val="subscript"/>
        <sz val="10"/>
        <color theme="0" tint="-0.499984740745262"/>
        <rFont val="Calibri"/>
        <family val="2"/>
      </rPr>
      <t>↓</t>
    </r>
    <r>
      <rPr>
        <b/>
        <vertAlign val="subscript"/>
        <sz val="10"/>
        <color theme="0" tint="-0.499984740745262"/>
        <rFont val="Arial"/>
        <family val="2"/>
      </rPr>
      <t>thw</t>
    </r>
    <r>
      <rPr>
        <b/>
        <sz val="10"/>
        <color theme="0" tint="-0.499984740745262"/>
        <rFont val="Arial"/>
        <family val="2"/>
      </rPr>
      <t xml:space="preserve"> (ft</t>
    </r>
    <r>
      <rPr>
        <b/>
        <vertAlign val="superscript"/>
        <sz val="10"/>
        <color theme="0" tint="-0.499984740745262"/>
        <rFont val="Arial"/>
        <family val="2"/>
      </rPr>
      <t>2</t>
    </r>
    <r>
      <rPr>
        <b/>
        <sz val="10"/>
        <color theme="0" tint="-0.499984740745262"/>
        <rFont val="Arial"/>
        <family val="2"/>
      </rPr>
      <t>)</t>
    </r>
  </si>
  <si>
    <r>
      <t>V</t>
    </r>
    <r>
      <rPr>
        <b/>
        <vertAlign val="subscript"/>
        <sz val="10"/>
        <color theme="0" tint="-0.499984740745262"/>
        <rFont val="Arial"/>
        <family val="2"/>
      </rPr>
      <t>RW,</t>
    </r>
    <r>
      <rPr>
        <b/>
        <vertAlign val="subscript"/>
        <sz val="10"/>
        <color theme="0" tint="-0.499984740745262"/>
        <rFont val="Calibri"/>
        <family val="2"/>
      </rPr>
      <t>↓</t>
    </r>
    <r>
      <rPr>
        <b/>
        <vertAlign val="subscript"/>
        <sz val="10"/>
        <color theme="0" tint="-0.499984740745262"/>
        <rFont val="Arial"/>
        <family val="2"/>
      </rPr>
      <t>thw</t>
    </r>
    <r>
      <rPr>
        <b/>
        <sz val="10"/>
        <color theme="0" tint="-0.499984740745262"/>
        <rFont val="Arial"/>
        <family val="2"/>
      </rPr>
      <t xml:space="preserve"> (ft</t>
    </r>
    <r>
      <rPr>
        <b/>
        <vertAlign val="superscript"/>
        <sz val="10"/>
        <color theme="0" tint="-0.499984740745262"/>
        <rFont val="Arial"/>
        <family val="2"/>
      </rPr>
      <t>3</t>
    </r>
    <r>
      <rPr>
        <b/>
        <sz val="10"/>
        <color theme="0" tint="-0.499984740745262"/>
        <rFont val="Arial"/>
        <family val="2"/>
      </rPr>
      <t>)</t>
    </r>
  </si>
  <si>
    <t>Driving Moment Centroids</t>
  </si>
  <si>
    <t>Interaction Forces with Adjacent Logs</t>
  </si>
  <si>
    <t>Position</t>
  </si>
  <si>
    <r>
      <t>F</t>
    </r>
    <r>
      <rPr>
        <b/>
        <vertAlign val="subscript"/>
        <sz val="10"/>
        <color rgb="FF003300"/>
        <rFont val="Arial"/>
        <family val="2"/>
      </rPr>
      <t>W,V</t>
    </r>
    <r>
      <rPr>
        <b/>
        <sz val="10"/>
        <color rgb="FF003300"/>
        <rFont val="Arial"/>
        <family val="2"/>
      </rPr>
      <t xml:space="preserve"> (lbf)</t>
    </r>
  </si>
  <si>
    <r>
      <t>F</t>
    </r>
    <r>
      <rPr>
        <b/>
        <vertAlign val="subscript"/>
        <sz val="10"/>
        <color rgb="FF003300"/>
        <rFont val="Arial"/>
        <family val="2"/>
      </rPr>
      <t>W,H</t>
    </r>
    <r>
      <rPr>
        <b/>
        <sz val="10"/>
        <color rgb="FF003300"/>
        <rFont val="Arial"/>
        <family val="2"/>
      </rPr>
      <t xml:space="preserve"> (lbf)</t>
    </r>
  </si>
  <si>
    <t>Applied Forces from other Logs</t>
  </si>
  <si>
    <t>ANALYSIS OF MULTIPLE LOG STRUCTURES</t>
  </si>
  <si>
    <t>Step 1</t>
  </si>
  <si>
    <t>Step 2</t>
  </si>
  <si>
    <t>Step 3</t>
  </si>
  <si>
    <t>Step 4</t>
  </si>
  <si>
    <t>Highlight tabs numbered 1 through 7, and click "Print".  Pages are pre-formatted except the "Anchors" Lookup sheet, which is not intended to be printed.</t>
  </si>
  <si>
    <t>Step 5</t>
  </si>
  <si>
    <t>Step 6</t>
  </si>
  <si>
    <t>Layer</t>
  </si>
  <si>
    <t>Log ID</t>
  </si>
  <si>
    <t>Not applicable</t>
  </si>
  <si>
    <t>Link</t>
  </si>
  <si>
    <t>Add "Anchor Forces" as necessary to stabilize the key members.</t>
  </si>
  <si>
    <t>Single Log Stability Analysis</t>
  </si>
  <si>
    <r>
      <rPr>
        <b/>
        <sz val="10"/>
        <rFont val="Arial"/>
        <family val="2"/>
      </rPr>
      <t>User Input Note 4 -</t>
    </r>
    <r>
      <rPr>
        <sz val="10"/>
        <rFont val="Arial"/>
        <family val="2"/>
      </rPr>
      <t xml:space="preserve"> User should also be </t>
    </r>
    <r>
      <rPr>
        <sz val="10"/>
        <color rgb="FFFF0000"/>
        <rFont val="Arial"/>
        <family val="2"/>
      </rPr>
      <t>very careful</t>
    </r>
    <r>
      <rPr>
        <sz val="10"/>
        <rFont val="Arial"/>
        <family val="2"/>
      </rPr>
      <t xml:space="preserve"> when removing or adding cells (at least scroll over and down to see what other cells may be impacted).  Hiding unused rows or columns is recommended instead of deleting them.  If the user needs to add cells on the "Single Log Design" spreadsheet, they should add a row of cells for all columns between 'A' and 'J'.  </t>
    </r>
    <r>
      <rPr>
        <sz val="10"/>
        <color rgb="FFFF0000"/>
        <rFont val="Arial"/>
        <family val="2"/>
      </rPr>
      <t>Important:</t>
    </r>
    <r>
      <rPr>
        <sz val="10"/>
        <rFont val="Arial"/>
        <family val="2"/>
      </rPr>
      <t xml:space="preserve"> Adding cells will break the code in the "Clear Inputs" macro, and cause it to clear the wrong cells.</t>
    </r>
  </si>
  <si>
    <r>
      <rPr>
        <b/>
        <sz val="10"/>
        <rFont val="Arial"/>
        <family val="2"/>
      </rPr>
      <t>User Input Note 6 -</t>
    </r>
    <r>
      <rPr>
        <sz val="10"/>
        <rFont val="Arial"/>
        <family val="2"/>
      </rPr>
      <t xml:space="preserve"> Input values should be in </t>
    </r>
    <r>
      <rPr>
        <sz val="10"/>
        <color rgb="FFFF0000"/>
        <rFont val="Arial"/>
        <family val="2"/>
      </rPr>
      <t>English units</t>
    </r>
    <r>
      <rPr>
        <sz val="10"/>
        <rFont val="Arial"/>
        <family val="2"/>
      </rPr>
      <t>, with one exception: D</t>
    </r>
    <r>
      <rPr>
        <vertAlign val="subscript"/>
        <sz val="10"/>
        <rFont val="Arial"/>
        <family val="2"/>
      </rPr>
      <t>50</t>
    </r>
    <r>
      <rPr>
        <sz val="10"/>
        <rFont val="Arial"/>
        <family val="2"/>
      </rPr>
      <t xml:space="preserve"> for the bed substrate gradation (mm).</t>
    </r>
  </si>
  <si>
    <t>Update the worksheets from "left to right"</t>
  </si>
  <si>
    <t>Anchor Forces</t>
  </si>
  <si>
    <r>
      <t>c</t>
    </r>
    <r>
      <rPr>
        <b/>
        <vertAlign val="subscript"/>
        <sz val="10"/>
        <color rgb="FF003300"/>
        <rFont val="Arial"/>
        <family val="2"/>
      </rPr>
      <t>Ar</t>
    </r>
    <r>
      <rPr>
        <b/>
        <sz val="10"/>
        <color rgb="FF003300"/>
        <rFont val="Arial"/>
        <family val="2"/>
      </rPr>
      <t xml:space="preserve"> (ft)</t>
    </r>
  </si>
  <si>
    <r>
      <t>c</t>
    </r>
    <r>
      <rPr>
        <b/>
        <vertAlign val="subscript"/>
        <sz val="10"/>
        <color rgb="FF003300"/>
        <rFont val="Arial"/>
        <family val="2"/>
      </rPr>
      <t>Am</t>
    </r>
    <r>
      <rPr>
        <b/>
        <sz val="10"/>
        <color rgb="FF003300"/>
        <rFont val="Arial"/>
        <family val="2"/>
      </rPr>
      <t xml:space="preserve"> (ft)</t>
    </r>
  </si>
  <si>
    <r>
      <t>c</t>
    </r>
    <r>
      <rPr>
        <b/>
        <vertAlign val="subscript"/>
        <sz val="10"/>
        <color rgb="FF003300"/>
        <rFont val="Arial"/>
        <family val="2"/>
      </rPr>
      <t>Asoil</t>
    </r>
    <r>
      <rPr>
        <b/>
        <sz val="10"/>
        <color rgb="FF003300"/>
        <rFont val="Arial"/>
        <family val="2"/>
      </rPr>
      <t xml:space="preserve"> (ft)</t>
    </r>
  </si>
  <si>
    <r>
      <t>F</t>
    </r>
    <r>
      <rPr>
        <b/>
        <vertAlign val="subscript"/>
        <sz val="10"/>
        <color rgb="FF003300"/>
        <rFont val="Arial"/>
        <family val="2"/>
      </rPr>
      <t>A,Vsoil</t>
    </r>
    <r>
      <rPr>
        <b/>
        <sz val="10"/>
        <color rgb="FF003300"/>
        <rFont val="Arial"/>
        <family val="2"/>
      </rPr>
      <t xml:space="preserve"> (lbf)</t>
    </r>
  </si>
  <si>
    <r>
      <t>V</t>
    </r>
    <r>
      <rPr>
        <b/>
        <vertAlign val="subscript"/>
        <sz val="10"/>
        <color rgb="FF003300"/>
        <rFont val="Arial"/>
        <family val="2"/>
      </rPr>
      <t>Adry</t>
    </r>
    <r>
      <rPr>
        <b/>
        <sz val="10"/>
        <color rgb="FF003300"/>
        <rFont val="Arial"/>
        <family val="2"/>
      </rPr>
      <t xml:space="preserve"> (ft</t>
    </r>
    <r>
      <rPr>
        <b/>
        <vertAlign val="superscript"/>
        <sz val="10"/>
        <color rgb="FF003300"/>
        <rFont val="Arial"/>
        <family val="2"/>
      </rPr>
      <t>3</t>
    </r>
    <r>
      <rPr>
        <b/>
        <sz val="10"/>
        <color rgb="FF003300"/>
        <rFont val="Arial"/>
        <family val="2"/>
      </rPr>
      <t>)</t>
    </r>
  </si>
  <si>
    <r>
      <t>V</t>
    </r>
    <r>
      <rPr>
        <b/>
        <vertAlign val="subscript"/>
        <sz val="10"/>
        <color rgb="FF003300"/>
        <rFont val="Arial"/>
        <family val="2"/>
      </rPr>
      <t>Awet</t>
    </r>
    <r>
      <rPr>
        <b/>
        <sz val="10"/>
        <color rgb="FF003300"/>
        <rFont val="Arial"/>
        <family val="2"/>
      </rPr>
      <t xml:space="preserve"> (ft</t>
    </r>
    <r>
      <rPr>
        <b/>
        <vertAlign val="superscript"/>
        <sz val="10"/>
        <color rgb="FF003300"/>
        <rFont val="Arial"/>
        <family val="2"/>
      </rPr>
      <t>3</t>
    </r>
    <r>
      <rPr>
        <b/>
        <sz val="10"/>
        <color rgb="FF003300"/>
        <rFont val="Arial"/>
        <family val="2"/>
      </rPr>
      <t>)</t>
    </r>
  </si>
  <si>
    <r>
      <t>K</t>
    </r>
    <r>
      <rPr>
        <b/>
        <vertAlign val="subscript"/>
        <sz val="10"/>
        <color rgb="FF003300"/>
        <rFont val="Arial"/>
        <family val="2"/>
      </rPr>
      <t>P</t>
    </r>
  </si>
  <si>
    <t>Log Partial Area Calculations</t>
  </si>
  <si>
    <r>
      <t>F</t>
    </r>
    <r>
      <rPr>
        <b/>
        <vertAlign val="subscript"/>
        <sz val="10"/>
        <color rgb="FF003300"/>
        <rFont val="Arial"/>
        <family val="2"/>
      </rPr>
      <t>Am</t>
    </r>
    <r>
      <rPr>
        <b/>
        <sz val="10"/>
        <color rgb="FF003300"/>
        <rFont val="Arial"/>
        <family val="2"/>
      </rPr>
      <t xml:space="preserve"> (lbf)</t>
    </r>
  </si>
  <si>
    <t>Resisting Moment Centroids</t>
  </si>
  <si>
    <r>
      <t>F</t>
    </r>
    <r>
      <rPr>
        <b/>
        <vertAlign val="subscript"/>
        <sz val="10"/>
        <color rgb="FF003300"/>
        <rFont val="Arial"/>
        <family val="2"/>
      </rPr>
      <t>A,HP</t>
    </r>
    <r>
      <rPr>
        <b/>
        <sz val="10"/>
        <color rgb="FF003300"/>
        <rFont val="Arial"/>
        <family val="2"/>
      </rPr>
      <t xml:space="preserve"> (lbf)</t>
    </r>
  </si>
  <si>
    <t>Page 3</t>
  </si>
  <si>
    <t>Example</t>
  </si>
  <si>
    <t>Additional Soil Ballast</t>
  </si>
  <si>
    <t>Flow Deflection Jam</t>
  </si>
  <si>
    <t>Transport Jam</t>
  </si>
  <si>
    <t>Structure Types</t>
  </si>
  <si>
    <t>Type Lookup Table</t>
  </si>
  <si>
    <t>Full-Span Jam</t>
  </si>
  <si>
    <t>In-Situ</t>
  </si>
  <si>
    <t>Tree Revetment</t>
  </si>
  <si>
    <r>
      <t xml:space="preserve">Wood Pile               </t>
    </r>
    <r>
      <rPr>
        <sz val="10"/>
        <color theme="8" tint="-0.249977111117893"/>
        <rFont val="Arial"/>
        <family val="2"/>
      </rPr>
      <t>(In development)</t>
    </r>
  </si>
  <si>
    <t>Logs protruding from bank and angled either up- or downstream</t>
  </si>
  <si>
    <t>Row of logs secured along the bank and placed parallel to flow</t>
  </si>
  <si>
    <t>Logs fluvially deposited and fallen trees in contact with the bank</t>
  </si>
  <si>
    <t>Partially spanning jams consisting of one or more key members</t>
  </si>
  <si>
    <t>Multiple logs constricting a large portion of the cross-sectional area</t>
  </si>
  <si>
    <t>Wood fluvially deposited at a bar apex, meander bend, or along bank</t>
  </si>
  <si>
    <r>
      <rPr>
        <sz val="10"/>
        <color theme="8" tint="-0.249977111117893"/>
        <rFont val="Calibri"/>
        <family val="2"/>
      </rPr>
      <t>←</t>
    </r>
    <r>
      <rPr>
        <sz val="10"/>
        <color theme="8" tint="-0.249977111117893"/>
        <rFont val="Arial"/>
        <family val="2"/>
      </rPr>
      <t xml:space="preserve"> (Note - Sheet names and numbering must be manually updated)</t>
    </r>
  </si>
  <si>
    <r>
      <rPr>
        <sz val="10"/>
        <color theme="8" tint="-0.249977111117893"/>
        <rFont val="Calibri"/>
        <family val="2"/>
      </rPr>
      <t xml:space="preserve">← </t>
    </r>
    <r>
      <rPr>
        <sz val="10"/>
        <color theme="8" tint="-0.249977111117893"/>
        <rFont val="Arial"/>
        <family val="2"/>
      </rPr>
      <t>(Optional - Change Photograph)</t>
    </r>
  </si>
  <si>
    <r>
      <rPr>
        <sz val="10"/>
        <color theme="8" tint="-0.249977111117893"/>
        <rFont val="Calibri"/>
        <family val="2"/>
      </rPr>
      <t>←</t>
    </r>
    <r>
      <rPr>
        <sz val="10"/>
        <color theme="8" tint="-0.249977111117893"/>
        <rFont val="Arial"/>
        <family val="2"/>
      </rPr>
      <t xml:space="preserve"> (Optional - Insert P.E. Stamp)</t>
    </r>
  </si>
  <si>
    <t>Boulder 1</t>
  </si>
  <si>
    <t>Boulder 2</t>
  </si>
  <si>
    <t>Boulder 3</t>
  </si>
  <si>
    <r>
      <t>d</t>
    </r>
    <r>
      <rPr>
        <b/>
        <vertAlign val="subscript"/>
        <sz val="10"/>
        <color theme="0" tint="-0.499984740745262"/>
        <rFont val="Arial"/>
        <family val="2"/>
      </rPr>
      <t>r,dry</t>
    </r>
    <r>
      <rPr>
        <b/>
        <sz val="10"/>
        <color theme="0" tint="-0.499984740745262"/>
        <rFont val="Arial"/>
        <family val="2"/>
      </rPr>
      <t xml:space="preserve"> (ft)</t>
    </r>
  </si>
  <si>
    <t>Ballast Boulder Calculations</t>
  </si>
  <si>
    <r>
      <t>D</t>
    </r>
    <r>
      <rPr>
        <b/>
        <vertAlign val="subscript"/>
        <sz val="10"/>
        <color theme="0" tint="-0.499984740745262"/>
        <rFont val="Arial"/>
        <family val="2"/>
      </rPr>
      <t>TS</t>
    </r>
    <r>
      <rPr>
        <b/>
        <sz val="10"/>
        <color theme="0" tint="-0.499984740745262"/>
        <rFont val="Arial"/>
        <family val="2"/>
      </rPr>
      <t xml:space="preserve"> =</t>
    </r>
  </si>
  <si>
    <r>
      <t>A</t>
    </r>
    <r>
      <rPr>
        <b/>
        <vertAlign val="subscript"/>
        <sz val="10"/>
        <color theme="0" tint="-0.499984740745262"/>
        <rFont val="Arial"/>
        <family val="2"/>
      </rPr>
      <t>TSp,total</t>
    </r>
    <r>
      <rPr>
        <b/>
        <sz val="10"/>
        <color theme="0" tint="-0.499984740745262"/>
        <rFont val="Arial"/>
        <family val="2"/>
      </rPr>
      <t xml:space="preserve"> =</t>
    </r>
  </si>
  <si>
    <r>
      <t>A</t>
    </r>
    <r>
      <rPr>
        <b/>
        <vertAlign val="subscript"/>
        <sz val="10"/>
        <color theme="0" tint="-0.499984740745262"/>
        <rFont val="Arial"/>
        <family val="2"/>
      </rPr>
      <t>TSp,dry</t>
    </r>
    <r>
      <rPr>
        <b/>
        <sz val="10"/>
        <color theme="0" tint="-0.499984740745262"/>
        <rFont val="Arial"/>
        <family val="2"/>
      </rPr>
      <t xml:space="preserve"> =</t>
    </r>
  </si>
  <si>
    <r>
      <t>A</t>
    </r>
    <r>
      <rPr>
        <b/>
        <vertAlign val="subscript"/>
        <sz val="10"/>
        <color theme="0" tint="-0.499984740745262"/>
        <rFont val="Arial"/>
        <family val="2"/>
      </rPr>
      <t>TSp,em</t>
    </r>
    <r>
      <rPr>
        <b/>
        <sz val="10"/>
        <color theme="0" tint="-0.499984740745262"/>
        <rFont val="Arial"/>
        <family val="2"/>
      </rPr>
      <t xml:space="preserve"> =</t>
    </r>
  </si>
  <si>
    <r>
      <t>(-) A</t>
    </r>
    <r>
      <rPr>
        <b/>
        <vertAlign val="subscript"/>
        <sz val="10"/>
        <color theme="0" tint="-0.499984740745262"/>
        <rFont val="Arial"/>
        <family val="2"/>
      </rPr>
      <t>TSp,dry,em</t>
    </r>
    <r>
      <rPr>
        <b/>
        <sz val="10"/>
        <color theme="0" tint="-0.499984740745262"/>
        <rFont val="Arial"/>
        <family val="2"/>
      </rPr>
      <t xml:space="preserve"> =</t>
    </r>
  </si>
  <si>
    <r>
      <t>A</t>
    </r>
    <r>
      <rPr>
        <b/>
        <vertAlign val="subscript"/>
        <sz val="10"/>
        <color theme="0" tint="-0.499984740745262"/>
        <rFont val="Arial"/>
        <family val="2"/>
      </rPr>
      <t>TSp,wet</t>
    </r>
    <r>
      <rPr>
        <b/>
        <sz val="10"/>
        <color theme="0" tint="-0.499984740745262"/>
        <rFont val="Arial"/>
        <family val="2"/>
      </rPr>
      <t xml:space="preserve"> =</t>
    </r>
  </si>
  <si>
    <r>
      <t>a = D</t>
    </r>
    <r>
      <rPr>
        <b/>
        <vertAlign val="subscript"/>
        <sz val="10"/>
        <color theme="0" tint="-0.499984740745262"/>
        <rFont val="Arial"/>
        <family val="2"/>
      </rPr>
      <t>RW</t>
    </r>
    <r>
      <rPr>
        <b/>
        <sz val="10"/>
        <color theme="0" tint="-0.499984740745262"/>
        <rFont val="Arial"/>
        <family val="2"/>
      </rPr>
      <t>/2</t>
    </r>
  </si>
  <si>
    <r>
      <t>b= (D</t>
    </r>
    <r>
      <rPr>
        <b/>
        <vertAlign val="subscript"/>
        <sz val="10"/>
        <color theme="0" tint="-0.499984740745262"/>
        <rFont val="Arial"/>
        <family val="2"/>
      </rPr>
      <t>RW</t>
    </r>
    <r>
      <rPr>
        <b/>
        <sz val="10"/>
        <color theme="0" tint="-0.499984740745262"/>
        <rFont val="Arial"/>
        <family val="2"/>
      </rPr>
      <t>/2)*ABS(cos(</t>
    </r>
    <r>
      <rPr>
        <b/>
        <sz val="10"/>
        <color theme="0" tint="-0.499984740745262"/>
        <rFont val="Symbol"/>
        <family val="1"/>
        <charset val="2"/>
      </rPr>
      <t>q</t>
    </r>
    <r>
      <rPr>
        <b/>
        <sz val="10"/>
        <color theme="0" tint="-0.499984740745262"/>
        <rFont val="Arial"/>
        <family val="2"/>
      </rPr>
      <t>))</t>
    </r>
  </si>
  <si>
    <r>
      <t>d</t>
    </r>
    <r>
      <rPr>
        <b/>
        <vertAlign val="subscript"/>
        <sz val="10"/>
        <color theme="0" tint="-0.499984740745262"/>
        <rFont val="Arial"/>
        <family val="2"/>
      </rPr>
      <t>1</t>
    </r>
    <r>
      <rPr>
        <b/>
        <sz val="10"/>
        <color theme="0" tint="-0.499984740745262"/>
        <rFont val="Arial"/>
        <family val="2"/>
      </rPr>
      <t xml:space="preserve"> = (D</t>
    </r>
    <r>
      <rPr>
        <b/>
        <vertAlign val="subscript"/>
        <sz val="10"/>
        <color theme="0" tint="-0.499984740745262"/>
        <rFont val="Arial"/>
        <family val="2"/>
      </rPr>
      <t>RW</t>
    </r>
    <r>
      <rPr>
        <b/>
        <sz val="10"/>
        <color theme="0" tint="-0.499984740745262"/>
        <rFont val="Arial"/>
        <family val="2"/>
      </rPr>
      <t>/2) - (y</t>
    </r>
    <r>
      <rPr>
        <b/>
        <vertAlign val="subscript"/>
        <sz val="10"/>
        <color theme="0" tint="-0.499984740745262"/>
        <rFont val="Arial"/>
        <family val="2"/>
      </rPr>
      <t>RW,crown</t>
    </r>
    <r>
      <rPr>
        <b/>
        <sz val="10"/>
        <color theme="0" tint="-0.499984740745262"/>
        <rFont val="Arial"/>
        <family val="2"/>
      </rPr>
      <t>-WSE)</t>
    </r>
  </si>
  <si>
    <r>
      <t>d</t>
    </r>
    <r>
      <rPr>
        <b/>
        <vertAlign val="subscript"/>
        <sz val="10"/>
        <color theme="0" tint="-0.499984740745262"/>
        <rFont val="Arial"/>
        <family val="2"/>
      </rPr>
      <t>2</t>
    </r>
    <r>
      <rPr>
        <b/>
        <sz val="10"/>
        <color theme="0" tint="-0.499984740745262"/>
        <rFont val="Arial"/>
        <family val="2"/>
      </rPr>
      <t xml:space="preserve"> = (D</t>
    </r>
    <r>
      <rPr>
        <b/>
        <vertAlign val="subscript"/>
        <sz val="10"/>
        <color theme="0" tint="-0.499984740745262"/>
        <rFont val="Arial"/>
        <family val="2"/>
      </rPr>
      <t>RW</t>
    </r>
    <r>
      <rPr>
        <b/>
        <sz val="10"/>
        <color theme="0" tint="-0.499984740745262"/>
        <rFont val="Arial"/>
        <family val="2"/>
      </rPr>
      <t>/2) - (y</t>
    </r>
    <r>
      <rPr>
        <b/>
        <vertAlign val="subscript"/>
        <sz val="10"/>
        <color theme="0" tint="-0.499984740745262"/>
        <rFont val="Arial"/>
        <family val="2"/>
      </rPr>
      <t>thalweg</t>
    </r>
    <r>
      <rPr>
        <b/>
        <sz val="10"/>
        <color theme="0" tint="-0.499984740745262"/>
        <rFont val="Arial"/>
        <family val="2"/>
      </rPr>
      <t>-y</t>
    </r>
    <r>
      <rPr>
        <b/>
        <vertAlign val="subscript"/>
        <sz val="10"/>
        <color theme="0" tint="-0.499984740745262"/>
        <rFont val="Arial"/>
        <family val="2"/>
      </rPr>
      <t>RW,bot</t>
    </r>
    <r>
      <rPr>
        <b/>
        <sz val="10"/>
        <color theme="0" tint="-0.499984740745262"/>
        <rFont val="Arial"/>
        <family val="2"/>
      </rPr>
      <t>)</t>
    </r>
  </si>
  <si>
    <r>
      <t>A</t>
    </r>
    <r>
      <rPr>
        <b/>
        <vertAlign val="subscript"/>
        <sz val="10"/>
        <color theme="0" tint="-0.499984740745262"/>
        <rFont val="Arial"/>
        <family val="2"/>
      </rPr>
      <t>RW,total</t>
    </r>
    <r>
      <rPr>
        <b/>
        <sz val="10"/>
        <color theme="0" tint="-0.499984740745262"/>
        <rFont val="Arial"/>
        <family val="2"/>
      </rPr>
      <t xml:space="preserve"> =</t>
    </r>
  </si>
  <si>
    <r>
      <t>A</t>
    </r>
    <r>
      <rPr>
        <b/>
        <vertAlign val="subscript"/>
        <sz val="10"/>
        <color theme="0" tint="-0.499984740745262"/>
        <rFont val="Arial"/>
        <family val="2"/>
      </rPr>
      <t>RW,</t>
    </r>
    <r>
      <rPr>
        <b/>
        <vertAlign val="subscript"/>
        <sz val="10"/>
        <color theme="0" tint="-0.499984740745262"/>
        <rFont val="Calibri"/>
        <family val="2"/>
      </rPr>
      <t>↑</t>
    </r>
    <r>
      <rPr>
        <b/>
        <vertAlign val="subscript"/>
        <sz val="10"/>
        <color theme="0" tint="-0.499984740745262"/>
        <rFont val="Arial"/>
        <family val="2"/>
      </rPr>
      <t>WSE</t>
    </r>
    <r>
      <rPr>
        <b/>
        <sz val="10"/>
        <color theme="0" tint="-0.499984740745262"/>
        <rFont val="Arial"/>
        <family val="2"/>
      </rPr>
      <t xml:space="preserve"> =</t>
    </r>
  </si>
  <si>
    <r>
      <t>A</t>
    </r>
    <r>
      <rPr>
        <b/>
        <vertAlign val="subscript"/>
        <sz val="10"/>
        <color theme="0" tint="-0.499984740745262"/>
        <rFont val="Arial"/>
        <family val="2"/>
      </rPr>
      <t>RW,</t>
    </r>
    <r>
      <rPr>
        <b/>
        <vertAlign val="subscript"/>
        <sz val="10"/>
        <color theme="0" tint="-0.499984740745262"/>
        <rFont val="Calibri"/>
        <family val="2"/>
      </rPr>
      <t>↓</t>
    </r>
    <r>
      <rPr>
        <b/>
        <vertAlign val="subscript"/>
        <sz val="10"/>
        <color theme="0" tint="-0.499984740745262"/>
        <rFont val="Arial"/>
        <family val="2"/>
      </rPr>
      <t>bed</t>
    </r>
    <r>
      <rPr>
        <b/>
        <sz val="10"/>
        <color theme="0" tint="-0.499984740745262"/>
        <rFont val="Arial"/>
        <family val="2"/>
      </rPr>
      <t xml:space="preserve"> =</t>
    </r>
  </si>
  <si>
    <r>
      <t>A</t>
    </r>
    <r>
      <rPr>
        <b/>
        <vertAlign val="subscript"/>
        <sz val="10"/>
        <color theme="0" tint="-0.499984740745262"/>
        <rFont val="Arial"/>
        <family val="2"/>
      </rPr>
      <t>RWp</t>
    </r>
    <r>
      <rPr>
        <b/>
        <sz val="10"/>
        <color theme="0" tint="-0.499984740745262"/>
        <rFont val="Arial"/>
        <family val="2"/>
      </rPr>
      <t xml:space="preserve"> =</t>
    </r>
  </si>
  <si>
    <r>
      <t>y</t>
    </r>
    <r>
      <rPr>
        <b/>
        <vertAlign val="subscript"/>
        <sz val="10"/>
        <color theme="0" tint="-0.499984740745262"/>
        <rFont val="Arial"/>
        <family val="2"/>
      </rPr>
      <t>r,bot</t>
    </r>
    <r>
      <rPr>
        <b/>
        <sz val="10"/>
        <color theme="0" tint="-0.499984740745262"/>
        <rFont val="Arial"/>
        <family val="2"/>
      </rPr>
      <t xml:space="preserve"> (ft)</t>
    </r>
  </si>
  <si>
    <t>Boulder #2</t>
  </si>
  <si>
    <t>Boulder #3</t>
  </si>
  <si>
    <t>Anchor 1</t>
  </si>
  <si>
    <t>Anchor #1</t>
  </si>
  <si>
    <t>Anchor #2</t>
  </si>
  <si>
    <r>
      <t>x</t>
    </r>
    <r>
      <rPr>
        <b/>
        <vertAlign val="subscript"/>
        <sz val="10"/>
        <color theme="0" tint="-0.499984740745262"/>
        <rFont val="Arial"/>
        <family val="2"/>
      </rPr>
      <t>r,bot</t>
    </r>
    <r>
      <rPr>
        <b/>
        <sz val="10"/>
        <color theme="0" tint="-0.499984740745262"/>
        <rFont val="Arial"/>
        <family val="2"/>
      </rPr>
      <t xml:space="preserve"> (ft)</t>
    </r>
  </si>
  <si>
    <r>
      <t>V</t>
    </r>
    <r>
      <rPr>
        <b/>
        <vertAlign val="subscript"/>
        <sz val="10"/>
        <color theme="0" tint="-0.499984740745262"/>
        <rFont val="Arial"/>
        <family val="2"/>
      </rPr>
      <t>r,wet</t>
    </r>
    <r>
      <rPr>
        <b/>
        <sz val="10"/>
        <color theme="0" tint="-0.499984740745262"/>
        <rFont val="Arial"/>
        <family val="2"/>
      </rPr>
      <t xml:space="preserve"> (ft</t>
    </r>
    <r>
      <rPr>
        <b/>
        <vertAlign val="superscript"/>
        <sz val="10"/>
        <color theme="0" tint="-0.499984740745262"/>
        <rFont val="Arial"/>
        <family val="2"/>
      </rPr>
      <t>3</t>
    </r>
    <r>
      <rPr>
        <b/>
        <sz val="10"/>
        <color theme="0" tint="-0.499984740745262"/>
        <rFont val="Arial"/>
        <family val="2"/>
      </rPr>
      <t>)</t>
    </r>
  </si>
  <si>
    <r>
      <t>y</t>
    </r>
    <r>
      <rPr>
        <b/>
        <vertAlign val="subscript"/>
        <sz val="10"/>
        <color theme="0" tint="-0.499984740745262"/>
        <rFont val="Arial"/>
        <family val="2"/>
      </rPr>
      <t>TS,bot</t>
    </r>
    <r>
      <rPr>
        <b/>
        <sz val="10"/>
        <color theme="0" tint="-0.499984740745262"/>
        <rFont val="Arial"/>
        <family val="2"/>
      </rPr>
      <t xml:space="preserve"> (ft)</t>
    </r>
  </si>
  <si>
    <r>
      <t>A</t>
    </r>
    <r>
      <rPr>
        <b/>
        <vertAlign val="subscript"/>
        <sz val="10"/>
        <color theme="0" tint="-0.499984740745262"/>
        <rFont val="Arial"/>
        <family val="2"/>
      </rPr>
      <t>Pr</t>
    </r>
    <r>
      <rPr>
        <b/>
        <sz val="10"/>
        <color theme="0" tint="-0.499984740745262"/>
        <rFont val="Arial"/>
        <family val="2"/>
      </rPr>
      <t xml:space="preserve"> (ft</t>
    </r>
    <r>
      <rPr>
        <b/>
        <vertAlign val="superscript"/>
        <sz val="10"/>
        <color theme="0" tint="-0.499984740745262"/>
        <rFont val="Arial"/>
        <family val="2"/>
      </rPr>
      <t>2</t>
    </r>
    <r>
      <rPr>
        <b/>
        <sz val="10"/>
        <color theme="0" tint="-0.499984740745262"/>
        <rFont val="Arial"/>
        <family val="2"/>
      </rPr>
      <t>)</t>
    </r>
  </si>
  <si>
    <t>Quick Design Reference:</t>
  </si>
  <si>
    <r>
      <t>A = R</t>
    </r>
    <r>
      <rPr>
        <vertAlign val="superscript"/>
        <sz val="10"/>
        <color theme="0" tint="-0.499984740745262"/>
        <rFont val="Arial"/>
        <family val="2"/>
      </rPr>
      <t>2</t>
    </r>
    <r>
      <rPr>
        <sz val="10"/>
        <color theme="0" tint="-0.499984740745262"/>
        <rFont val="Arial"/>
        <family val="2"/>
      </rPr>
      <t xml:space="preserve"> arccos [(R - h)/R] - [(R - h)*SQRT(2Rh - h</t>
    </r>
    <r>
      <rPr>
        <vertAlign val="superscript"/>
        <sz val="10"/>
        <color theme="0" tint="-0.499984740745262"/>
        <rFont val="Arial"/>
        <family val="2"/>
      </rPr>
      <t>2</t>
    </r>
    <r>
      <rPr>
        <sz val="10"/>
        <color theme="0" tint="-0.499984740745262"/>
        <rFont val="Arial"/>
        <family val="2"/>
      </rPr>
      <t>)]</t>
    </r>
  </si>
  <si>
    <r>
      <t>d</t>
    </r>
    <r>
      <rPr>
        <b/>
        <vertAlign val="subscript"/>
        <sz val="10"/>
        <color theme="0" tint="-0.499984740745262"/>
        <rFont val="Arial"/>
        <family val="2"/>
      </rPr>
      <t>r</t>
    </r>
    <r>
      <rPr>
        <b/>
        <vertAlign val="subscript"/>
        <sz val="10"/>
        <color theme="0" tint="-0.499984740745262"/>
        <rFont val="Calibri"/>
        <family val="2"/>
      </rPr>
      <t>↓</t>
    </r>
    <r>
      <rPr>
        <b/>
        <vertAlign val="subscript"/>
        <sz val="10"/>
        <color theme="0" tint="-0.499984740745262"/>
        <rFont val="Arial"/>
        <family val="2"/>
      </rPr>
      <t>Thw</t>
    </r>
    <r>
      <rPr>
        <b/>
        <sz val="10"/>
        <color theme="0" tint="-0.499984740745262"/>
        <rFont val="Arial"/>
        <family val="2"/>
      </rPr>
      <t xml:space="preserve"> (ft)</t>
    </r>
  </si>
  <si>
    <r>
      <t>A</t>
    </r>
    <r>
      <rPr>
        <sz val="10"/>
        <color theme="0" tint="-0.499984740745262"/>
        <rFont val="Arial"/>
        <family val="2"/>
      </rPr>
      <t xml:space="preserve"> = [(R - d</t>
    </r>
    <r>
      <rPr>
        <vertAlign val="subscript"/>
        <sz val="10"/>
        <color theme="0" tint="-0.499984740745262"/>
        <rFont val="Arial"/>
        <family val="2"/>
      </rPr>
      <t>dry</t>
    </r>
    <r>
      <rPr>
        <sz val="10"/>
        <color theme="0" tint="-0.499984740745262"/>
        <rFont val="Arial"/>
        <family val="2"/>
      </rPr>
      <t>)*SQRT(2Rd</t>
    </r>
    <r>
      <rPr>
        <vertAlign val="subscript"/>
        <sz val="10"/>
        <color theme="0" tint="-0.499984740745262"/>
        <rFont val="Arial"/>
        <family val="2"/>
      </rPr>
      <t>dry</t>
    </r>
    <r>
      <rPr>
        <sz val="10"/>
        <color theme="0" tint="-0.499984740745262"/>
        <rFont val="Arial"/>
        <family val="2"/>
      </rPr>
      <t xml:space="preserve"> - d</t>
    </r>
    <r>
      <rPr>
        <vertAlign val="subscript"/>
        <sz val="10"/>
        <color theme="0" tint="-0.499984740745262"/>
        <rFont val="Arial"/>
        <family val="2"/>
      </rPr>
      <t>dry</t>
    </r>
    <r>
      <rPr>
        <vertAlign val="superscript"/>
        <sz val="10"/>
        <color theme="0" tint="-0.499984740745262"/>
        <rFont val="Arial"/>
        <family val="2"/>
      </rPr>
      <t>2</t>
    </r>
    <r>
      <rPr>
        <sz val="10"/>
        <color theme="0" tint="-0.499984740745262"/>
        <rFont val="Arial"/>
        <family val="2"/>
      </rPr>
      <t>)] - R</t>
    </r>
    <r>
      <rPr>
        <vertAlign val="superscript"/>
        <sz val="10"/>
        <color theme="0" tint="-0.499984740745262"/>
        <rFont val="Arial"/>
        <family val="2"/>
      </rPr>
      <t>2</t>
    </r>
    <r>
      <rPr>
        <sz val="10"/>
        <color theme="0" tint="-0.499984740745262"/>
        <rFont val="Arial"/>
        <family val="2"/>
      </rPr>
      <t xml:space="preserve"> arccos [(R - d</t>
    </r>
    <r>
      <rPr>
        <vertAlign val="subscript"/>
        <sz val="10"/>
        <color theme="0" tint="-0.499984740745262"/>
        <rFont val="Arial"/>
        <family val="2"/>
      </rPr>
      <t>dry</t>
    </r>
    <r>
      <rPr>
        <sz val="10"/>
        <color theme="0" tint="-0.499984740745262"/>
        <rFont val="Arial"/>
        <family val="2"/>
      </rPr>
      <t>)/R]</t>
    </r>
  </si>
  <si>
    <r>
      <t>A</t>
    </r>
    <r>
      <rPr>
        <b/>
        <vertAlign val="subscript"/>
        <sz val="10"/>
        <color theme="0" tint="-0.499984740745262"/>
        <rFont val="Arial"/>
        <family val="2"/>
      </rPr>
      <t>r</t>
    </r>
    <r>
      <rPr>
        <b/>
        <vertAlign val="subscript"/>
        <sz val="10"/>
        <color theme="0" tint="-0.499984740745262"/>
        <rFont val="Calibri"/>
        <family val="2"/>
      </rPr>
      <t>↑</t>
    </r>
    <r>
      <rPr>
        <b/>
        <vertAlign val="subscript"/>
        <sz val="10"/>
        <color theme="0" tint="-0.499984740745262"/>
        <rFont val="Arial"/>
        <family val="2"/>
      </rPr>
      <t>WSE</t>
    </r>
    <r>
      <rPr>
        <b/>
        <sz val="10"/>
        <color theme="0" tint="-0.499984740745262"/>
        <rFont val="Arial"/>
        <family val="2"/>
      </rPr>
      <t xml:space="preserve"> (ft</t>
    </r>
    <r>
      <rPr>
        <b/>
        <vertAlign val="superscript"/>
        <sz val="10"/>
        <color theme="0" tint="-0.499984740745262"/>
        <rFont val="Arial"/>
        <family val="2"/>
      </rPr>
      <t>2</t>
    </r>
    <r>
      <rPr>
        <b/>
        <sz val="10"/>
        <color theme="0" tint="-0.499984740745262"/>
        <rFont val="Arial"/>
        <family val="2"/>
      </rPr>
      <t>)</t>
    </r>
  </si>
  <si>
    <r>
      <t>A</t>
    </r>
    <r>
      <rPr>
        <b/>
        <vertAlign val="subscript"/>
        <sz val="10"/>
        <color theme="0" tint="-0.499984740745262"/>
        <rFont val="Arial"/>
        <family val="2"/>
      </rPr>
      <t>r</t>
    </r>
    <r>
      <rPr>
        <b/>
        <vertAlign val="subscript"/>
        <sz val="10"/>
        <color theme="0" tint="-0.499984740745262"/>
        <rFont val="Calibri"/>
        <family val="2"/>
      </rPr>
      <t>↓</t>
    </r>
    <r>
      <rPr>
        <b/>
        <vertAlign val="subscript"/>
        <sz val="10"/>
        <color theme="0" tint="-0.499984740745262"/>
        <rFont val="Arial"/>
        <family val="2"/>
      </rPr>
      <t>Thw</t>
    </r>
    <r>
      <rPr>
        <b/>
        <sz val="10"/>
        <color theme="0" tint="-0.499984740745262"/>
        <rFont val="Arial"/>
        <family val="2"/>
      </rPr>
      <t xml:space="preserve"> (ft</t>
    </r>
    <r>
      <rPr>
        <b/>
        <vertAlign val="superscript"/>
        <sz val="10"/>
        <color theme="0" tint="-0.499984740745262"/>
        <rFont val="Arial"/>
        <family val="2"/>
      </rPr>
      <t>2</t>
    </r>
    <r>
      <rPr>
        <b/>
        <sz val="10"/>
        <color theme="0" tint="-0.499984740745262"/>
        <rFont val="Arial"/>
        <family val="2"/>
      </rPr>
      <t>)</t>
    </r>
  </si>
  <si>
    <r>
      <t>F</t>
    </r>
    <r>
      <rPr>
        <b/>
        <vertAlign val="subscript"/>
        <sz val="10"/>
        <color theme="0" tint="-0.499984740745262"/>
        <rFont val="Arial"/>
        <family val="2"/>
      </rPr>
      <t>L,r</t>
    </r>
    <r>
      <rPr>
        <b/>
        <sz val="10"/>
        <color theme="0" tint="-0.499984740745262"/>
        <rFont val="Arial"/>
        <family val="2"/>
      </rPr>
      <t xml:space="preserve"> (lbf)</t>
    </r>
  </si>
  <si>
    <r>
      <t>F</t>
    </r>
    <r>
      <rPr>
        <b/>
        <vertAlign val="subscript"/>
        <sz val="10"/>
        <color theme="0" tint="-0.499984740745262"/>
        <rFont val="Arial"/>
        <family val="2"/>
      </rPr>
      <t>D,r</t>
    </r>
    <r>
      <rPr>
        <b/>
        <sz val="10"/>
        <color theme="0" tint="-0.499984740745262"/>
        <rFont val="Arial"/>
        <family val="2"/>
      </rPr>
      <t xml:space="preserve"> (lbf)</t>
    </r>
  </si>
  <si>
    <t>Drag forces applied to boulder</t>
  </si>
  <si>
    <t>Lift force applied to boulder</t>
  </si>
  <si>
    <r>
      <t>C</t>
    </r>
    <r>
      <rPr>
        <vertAlign val="subscript"/>
        <sz val="10"/>
        <rFont val="Arial"/>
        <family val="2"/>
      </rPr>
      <t>Drock</t>
    </r>
  </si>
  <si>
    <t>Coefficient of drag for submerged boulder (Schultz, 1954)</t>
  </si>
  <si>
    <r>
      <t>F</t>
    </r>
    <r>
      <rPr>
        <b/>
        <vertAlign val="subscript"/>
        <sz val="10"/>
        <color rgb="FF003300"/>
        <rFont val="Arial"/>
        <family val="2"/>
      </rPr>
      <t>D,r</t>
    </r>
    <r>
      <rPr>
        <b/>
        <sz val="10"/>
        <color rgb="FF003300"/>
        <rFont val="Arial"/>
        <family val="2"/>
      </rPr>
      <t xml:space="preserve"> (lbf)</t>
    </r>
  </si>
  <si>
    <t>Soil Anchor Zone Calculation</t>
  </si>
  <si>
    <t>Anchor 2</t>
  </si>
  <si>
    <t>Additional resisting force (lbf) needed:</t>
  </si>
  <si>
    <t>Centroid of Log</t>
  </si>
  <si>
    <r>
      <t>c</t>
    </r>
    <r>
      <rPr>
        <b/>
        <vertAlign val="subscript"/>
        <sz val="10"/>
        <color rgb="FF003300"/>
        <rFont val="Arial"/>
        <family val="2"/>
      </rPr>
      <t>T,B</t>
    </r>
    <r>
      <rPr>
        <b/>
        <sz val="10"/>
        <color rgb="FF003300"/>
        <rFont val="Arial"/>
        <family val="2"/>
      </rPr>
      <t xml:space="preserve"> (ft)</t>
    </r>
  </si>
  <si>
    <r>
      <t>c</t>
    </r>
    <r>
      <rPr>
        <b/>
        <vertAlign val="subscript"/>
        <sz val="10"/>
        <color rgb="FF003300"/>
        <rFont val="Arial"/>
        <family val="2"/>
      </rPr>
      <t>L</t>
    </r>
    <r>
      <rPr>
        <b/>
        <sz val="10"/>
        <color rgb="FF003300"/>
        <rFont val="Arial"/>
        <family val="2"/>
      </rPr>
      <t xml:space="preserve"> (ft)</t>
    </r>
  </si>
  <si>
    <r>
      <t>c</t>
    </r>
    <r>
      <rPr>
        <b/>
        <vertAlign val="subscript"/>
        <sz val="10"/>
        <color rgb="FF003300"/>
        <rFont val="Arial"/>
        <family val="2"/>
      </rPr>
      <t>D</t>
    </r>
    <r>
      <rPr>
        <b/>
        <sz val="10"/>
        <color rgb="FF003300"/>
        <rFont val="Arial"/>
        <family val="2"/>
      </rPr>
      <t xml:space="preserve"> (ft)</t>
    </r>
  </si>
  <si>
    <r>
      <t>c</t>
    </r>
    <r>
      <rPr>
        <b/>
        <vertAlign val="subscript"/>
        <sz val="10"/>
        <color rgb="FF003300"/>
        <rFont val="Arial"/>
        <family val="2"/>
      </rPr>
      <t>T,W</t>
    </r>
    <r>
      <rPr>
        <b/>
        <sz val="10"/>
        <color rgb="FF003300"/>
        <rFont val="Arial"/>
        <family val="2"/>
      </rPr>
      <t xml:space="preserve"> (ft)</t>
    </r>
  </si>
  <si>
    <r>
      <t>c</t>
    </r>
    <r>
      <rPr>
        <b/>
        <vertAlign val="subscript"/>
        <sz val="10"/>
        <color rgb="FF003300"/>
        <rFont val="Arial"/>
        <family val="2"/>
      </rPr>
      <t>soil</t>
    </r>
    <r>
      <rPr>
        <b/>
        <sz val="10"/>
        <color rgb="FF003300"/>
        <rFont val="Arial"/>
        <family val="2"/>
      </rPr>
      <t xml:space="preserve"> (ft)</t>
    </r>
  </si>
  <si>
    <r>
      <t>c</t>
    </r>
    <r>
      <rPr>
        <b/>
        <vertAlign val="subscript"/>
        <sz val="10"/>
        <color rgb="FF003300"/>
        <rFont val="Arial"/>
        <family val="2"/>
      </rPr>
      <t>P</t>
    </r>
    <r>
      <rPr>
        <b/>
        <sz val="10"/>
        <color rgb="FF003300"/>
        <rFont val="Arial"/>
        <family val="2"/>
      </rPr>
      <t xml:space="preserve"> (ft)</t>
    </r>
  </si>
  <si>
    <r>
      <t>M</t>
    </r>
    <r>
      <rPr>
        <b/>
        <vertAlign val="subscript"/>
        <sz val="10"/>
        <color rgb="FF003300"/>
        <rFont val="Arial"/>
        <family val="2"/>
      </rPr>
      <t>d</t>
    </r>
    <r>
      <rPr>
        <b/>
        <sz val="10"/>
        <color rgb="FF003300"/>
        <rFont val="Arial"/>
        <family val="2"/>
      </rPr>
      <t xml:space="preserve"> (lbf)</t>
    </r>
  </si>
  <si>
    <r>
      <t>M</t>
    </r>
    <r>
      <rPr>
        <b/>
        <vertAlign val="subscript"/>
        <sz val="10"/>
        <color rgb="FF003300"/>
        <rFont val="Arial"/>
        <family val="2"/>
      </rPr>
      <t>r</t>
    </r>
    <r>
      <rPr>
        <b/>
        <sz val="10"/>
        <color rgb="FF003300"/>
        <rFont val="Arial"/>
        <family val="2"/>
      </rPr>
      <t xml:space="preserve"> (lbf)</t>
    </r>
  </si>
  <si>
    <r>
      <t>c</t>
    </r>
    <r>
      <rPr>
        <b/>
        <vertAlign val="subscript"/>
        <sz val="10"/>
        <color theme="0" tint="-0.499984740745262"/>
        <rFont val="Arial"/>
        <family val="2"/>
      </rPr>
      <t>L</t>
    </r>
    <r>
      <rPr>
        <b/>
        <sz val="10"/>
        <color theme="0" tint="-0.499984740745262"/>
        <rFont val="Arial"/>
        <family val="2"/>
      </rPr>
      <t xml:space="preserve"> (ft)</t>
    </r>
  </si>
  <si>
    <r>
      <t>c</t>
    </r>
    <r>
      <rPr>
        <b/>
        <vertAlign val="subscript"/>
        <sz val="10"/>
        <color theme="0" tint="-0.499984740745262"/>
        <rFont val="Arial"/>
        <family val="2"/>
      </rPr>
      <t>F</t>
    </r>
    <r>
      <rPr>
        <b/>
        <sz val="10"/>
        <color theme="0" tint="-0.499984740745262"/>
        <rFont val="Arial"/>
        <family val="2"/>
      </rPr>
      <t xml:space="preserve"> (ft)</t>
    </r>
  </si>
  <si>
    <t>ERROR CHECKS</t>
  </si>
  <si>
    <r>
      <t>c</t>
    </r>
    <r>
      <rPr>
        <b/>
        <vertAlign val="subscript"/>
        <sz val="10"/>
        <color theme="0" tint="-0.499984740745262"/>
        <rFont val="Arial"/>
        <family val="2"/>
      </rPr>
      <t>D</t>
    </r>
    <r>
      <rPr>
        <b/>
        <sz val="10"/>
        <color theme="0" tint="-0.499984740745262"/>
        <rFont val="Arial"/>
        <family val="2"/>
      </rPr>
      <t xml:space="preserve"> (ft)</t>
    </r>
  </si>
  <si>
    <r>
      <t>c</t>
    </r>
    <r>
      <rPr>
        <b/>
        <vertAlign val="subscript"/>
        <sz val="10"/>
        <color theme="0" tint="-0.499984740745262"/>
        <rFont val="Arial"/>
        <family val="2"/>
      </rPr>
      <t>soil</t>
    </r>
    <r>
      <rPr>
        <b/>
        <sz val="10"/>
        <color theme="0" tint="-0.499984740745262"/>
        <rFont val="Arial"/>
        <family val="2"/>
      </rPr>
      <t xml:space="preserve"> (ft)</t>
    </r>
  </si>
  <si>
    <r>
      <t>c</t>
    </r>
    <r>
      <rPr>
        <b/>
        <vertAlign val="subscript"/>
        <sz val="10"/>
        <color theme="0" tint="-0.499984740745262"/>
        <rFont val="Arial"/>
        <family val="2"/>
      </rPr>
      <t>P</t>
    </r>
    <r>
      <rPr>
        <b/>
        <sz val="10"/>
        <color theme="0" tint="-0.499984740745262"/>
        <rFont val="Arial"/>
        <family val="2"/>
      </rPr>
      <t xml:space="preserve"> (ft)</t>
    </r>
  </si>
  <si>
    <r>
      <t>c</t>
    </r>
    <r>
      <rPr>
        <vertAlign val="subscript"/>
        <sz val="10"/>
        <color theme="0" tint="-0.499984740745262"/>
        <rFont val="Arial"/>
        <family val="2"/>
      </rPr>
      <t>RW</t>
    </r>
  </si>
  <si>
    <r>
      <t>c</t>
    </r>
    <r>
      <rPr>
        <vertAlign val="subscript"/>
        <sz val="10"/>
        <color theme="0" tint="-0.499984740745262"/>
        <rFont val="Arial"/>
        <family val="2"/>
      </rPr>
      <t>TS</t>
    </r>
  </si>
  <si>
    <r>
      <t>c</t>
    </r>
    <r>
      <rPr>
        <vertAlign val="subscript"/>
        <sz val="10"/>
        <color theme="0" tint="-0.499984740745262"/>
        <rFont val="Arial"/>
        <family val="2"/>
      </rPr>
      <t>T</t>
    </r>
  </si>
  <si>
    <t>Above</t>
  </si>
  <si>
    <r>
      <t>c</t>
    </r>
    <r>
      <rPr>
        <b/>
        <vertAlign val="subscript"/>
        <sz val="10"/>
        <color rgb="FF003300"/>
        <rFont val="Arial"/>
        <family val="2"/>
      </rPr>
      <t>F&amp;N</t>
    </r>
    <r>
      <rPr>
        <b/>
        <sz val="10"/>
        <color rgb="FF003300"/>
        <rFont val="Arial"/>
        <family val="2"/>
      </rPr>
      <t xml:space="preserve"> (ft)</t>
    </r>
  </si>
  <si>
    <t>NRCS NEH 654 Technical Supplement 14J (2007)</t>
  </si>
  <si>
    <t>Coefficient of lift for submerged boulder</t>
  </si>
  <si>
    <t>Specific gravity of tree</t>
  </si>
  <si>
    <r>
      <t>SG</t>
    </r>
    <r>
      <rPr>
        <vertAlign val="subscript"/>
        <sz val="10"/>
        <rFont val="Arial"/>
        <family val="2"/>
      </rPr>
      <t>rock</t>
    </r>
  </si>
  <si>
    <r>
      <rPr>
        <b/>
        <vertAlign val="superscript"/>
        <sz val="10"/>
        <color rgb="FFFF0000"/>
        <rFont val="Arial"/>
        <family val="2"/>
      </rPr>
      <t>2</t>
    </r>
    <r>
      <rPr>
        <sz val="10"/>
        <rFont val="Arial"/>
        <family val="2"/>
      </rPr>
      <t xml:space="preserve"> Void ratio, e, is backcalculated using the following equation:  e = (SG</t>
    </r>
    <r>
      <rPr>
        <vertAlign val="subscript"/>
        <sz val="10"/>
        <rFont val="Arial"/>
        <family val="2"/>
      </rPr>
      <t>rock</t>
    </r>
    <r>
      <rPr>
        <sz val="10"/>
        <rFont val="Arial"/>
        <family val="2"/>
      </rPr>
      <t>*</t>
    </r>
    <r>
      <rPr>
        <sz val="10"/>
        <rFont val="Symbol"/>
        <family val="1"/>
        <charset val="2"/>
      </rPr>
      <t>g</t>
    </r>
    <r>
      <rPr>
        <vertAlign val="subscript"/>
        <sz val="10"/>
        <rFont val="Arial"/>
        <family val="2"/>
      </rPr>
      <t>w</t>
    </r>
    <r>
      <rPr>
        <sz val="10"/>
        <rFont val="Arial"/>
        <family val="2"/>
      </rPr>
      <t>/</t>
    </r>
    <r>
      <rPr>
        <sz val="10"/>
        <rFont val="Symbol"/>
        <family val="1"/>
        <charset val="2"/>
      </rPr>
      <t>g</t>
    </r>
    <r>
      <rPr>
        <vertAlign val="subscript"/>
        <sz val="10"/>
        <rFont val="Arial"/>
        <family val="2"/>
      </rPr>
      <t>bank</t>
    </r>
    <r>
      <rPr>
        <sz val="10"/>
        <rFont val="Arial"/>
        <family val="2"/>
      </rPr>
      <t>) - 1</t>
    </r>
  </si>
  <si>
    <r>
      <rPr>
        <b/>
        <vertAlign val="superscript"/>
        <sz val="10"/>
        <color rgb="FFFF0000"/>
        <rFont val="Arial"/>
        <family val="2"/>
      </rPr>
      <t>3</t>
    </r>
    <r>
      <rPr>
        <sz val="10"/>
        <rFont val="Arial"/>
        <family val="2"/>
      </rPr>
      <t xml:space="preserve"> Saturated Unit Weight of soil, </t>
    </r>
    <r>
      <rPr>
        <sz val="10"/>
        <rFont val="Symbol"/>
        <family val="1"/>
        <charset val="2"/>
      </rPr>
      <t>g</t>
    </r>
    <r>
      <rPr>
        <vertAlign val="subscript"/>
        <sz val="10"/>
        <rFont val="Arial"/>
        <family val="2"/>
      </rPr>
      <t>bank,sat</t>
    </r>
    <r>
      <rPr>
        <sz val="10"/>
        <rFont val="Arial"/>
        <family val="2"/>
      </rPr>
      <t xml:space="preserve"> = ((SG</t>
    </r>
    <r>
      <rPr>
        <vertAlign val="subscript"/>
        <sz val="10"/>
        <rFont val="Arial"/>
        <family val="2"/>
      </rPr>
      <t>rock</t>
    </r>
    <r>
      <rPr>
        <sz val="10"/>
        <rFont val="Arial"/>
        <family val="2"/>
      </rPr>
      <t>+e)*</t>
    </r>
    <r>
      <rPr>
        <sz val="10"/>
        <rFont val="Symbol"/>
        <family val="1"/>
        <charset val="2"/>
      </rPr>
      <t>g</t>
    </r>
    <r>
      <rPr>
        <vertAlign val="subscript"/>
        <sz val="10"/>
        <rFont val="Arial"/>
        <family val="2"/>
      </rPr>
      <t>w</t>
    </r>
    <r>
      <rPr>
        <sz val="10"/>
        <rFont val="Arial"/>
        <family val="2"/>
      </rPr>
      <t>)/(1+e)</t>
    </r>
  </si>
  <si>
    <r>
      <t>SG</t>
    </r>
    <r>
      <rPr>
        <b/>
        <vertAlign val="subscript"/>
        <sz val="10"/>
        <color rgb="FF003300"/>
        <rFont val="Arial"/>
        <family val="2"/>
      </rPr>
      <t>T</t>
    </r>
  </si>
  <si>
    <t>Rootwad porosity</t>
  </si>
  <si>
    <r>
      <t>ft</t>
    </r>
    <r>
      <rPr>
        <vertAlign val="superscript"/>
        <sz val="10"/>
        <rFont val="Arial"/>
        <family val="2"/>
      </rPr>
      <t>2</t>
    </r>
  </si>
  <si>
    <r>
      <t>u</t>
    </r>
    <r>
      <rPr>
        <vertAlign val="subscript"/>
        <sz val="10"/>
        <rFont val="Arial"/>
        <family val="2"/>
      </rPr>
      <t>avg</t>
    </r>
    <r>
      <rPr>
        <sz val="10"/>
        <rFont val="Arial"/>
        <family val="2"/>
      </rPr>
      <t xml:space="preserve">          [for Rc/W</t>
    </r>
    <r>
      <rPr>
        <vertAlign val="subscript"/>
        <sz val="10"/>
        <rFont val="Arial"/>
        <family val="2"/>
      </rPr>
      <t>BF</t>
    </r>
    <r>
      <rPr>
        <sz val="10"/>
        <rFont val="Arial"/>
        <family val="2"/>
      </rPr>
      <t xml:space="preserve"> &gt; 26]</t>
    </r>
  </si>
  <si>
    <r>
      <t>u</t>
    </r>
    <r>
      <rPr>
        <vertAlign val="subscript"/>
        <sz val="10"/>
        <rFont val="Arial"/>
        <family val="2"/>
      </rPr>
      <t>avg</t>
    </r>
    <r>
      <rPr>
        <sz val="10"/>
        <rFont val="Arial"/>
        <family val="2"/>
      </rPr>
      <t>(1.74 - 0.52 log (R</t>
    </r>
    <r>
      <rPr>
        <vertAlign val="subscript"/>
        <sz val="10"/>
        <rFont val="Arial"/>
        <family val="2"/>
      </rPr>
      <t>c</t>
    </r>
    <r>
      <rPr>
        <sz val="10"/>
        <rFont val="Arial"/>
        <family val="2"/>
      </rPr>
      <t>/W</t>
    </r>
    <r>
      <rPr>
        <vertAlign val="subscript"/>
        <sz val="10"/>
        <rFont val="Arial"/>
        <family val="2"/>
      </rPr>
      <t>BF</t>
    </r>
    <r>
      <rPr>
        <sz val="10"/>
        <rFont val="Arial"/>
        <family val="2"/>
      </rPr>
      <t>))      [for Rc/W</t>
    </r>
    <r>
      <rPr>
        <vertAlign val="subscript"/>
        <sz val="10"/>
        <rFont val="Arial"/>
        <family val="2"/>
      </rPr>
      <t>BF</t>
    </r>
    <r>
      <rPr>
        <sz val="10"/>
        <rFont val="Arial"/>
        <family val="2"/>
      </rPr>
      <t xml:space="preserve"> &lt; 26]</t>
    </r>
  </si>
  <si>
    <r>
      <t xml:space="preserve">Average Dry Unit Weight,    </t>
    </r>
    <r>
      <rPr>
        <b/>
        <sz val="10"/>
        <color rgb="FF003300"/>
        <rFont val="Symbol"/>
        <family val="1"/>
        <charset val="2"/>
      </rPr>
      <t>g</t>
    </r>
    <r>
      <rPr>
        <b/>
        <vertAlign val="subscript"/>
        <sz val="10"/>
        <color rgb="FF003300"/>
        <rFont val="Arial"/>
        <family val="2"/>
      </rPr>
      <t>s</t>
    </r>
    <r>
      <rPr>
        <b/>
        <sz val="10"/>
        <color rgb="FF003300"/>
        <rFont val="Arial"/>
        <family val="2"/>
      </rPr>
      <t xml:space="preserve"> (lb/ft</t>
    </r>
    <r>
      <rPr>
        <b/>
        <vertAlign val="superscript"/>
        <sz val="10"/>
        <color rgb="FF003300"/>
        <rFont val="Arial"/>
        <family val="2"/>
      </rPr>
      <t>3</t>
    </r>
    <r>
      <rPr>
        <b/>
        <sz val="10"/>
        <color rgb="FF003300"/>
        <rFont val="Arial"/>
        <family val="2"/>
      </rPr>
      <t>)</t>
    </r>
  </si>
  <si>
    <r>
      <t>ft</t>
    </r>
    <r>
      <rPr>
        <vertAlign val="superscript"/>
        <sz val="10"/>
        <rFont val="Arial"/>
        <family val="2"/>
      </rPr>
      <t>3</t>
    </r>
  </si>
  <si>
    <t>Volume of voids in soil</t>
  </si>
  <si>
    <t>N</t>
  </si>
  <si>
    <t>Blow count of standard penetration test</t>
  </si>
  <si>
    <t>ID</t>
  </si>
  <si>
    <t>Identification</t>
  </si>
  <si>
    <t>Horizontal coordinate (distance)</t>
  </si>
  <si>
    <t>Water surface elevation</t>
  </si>
  <si>
    <t>Millimeters</t>
  </si>
  <si>
    <t>kg</t>
  </si>
  <si>
    <t>Kilograms</t>
  </si>
  <si>
    <t>Meters</t>
  </si>
  <si>
    <t>s</t>
  </si>
  <si>
    <t>Seconds</t>
  </si>
  <si>
    <t>Cubic feet per second</t>
  </si>
  <si>
    <t>Rootwad (or large end of log) orientation to flow</t>
  </si>
  <si>
    <t>Tilt angle from stem tip to vertical</t>
  </si>
  <si>
    <t>Maximum elevation of log</t>
  </si>
  <si>
    <t>Minimum elevation of log</t>
  </si>
  <si>
    <t>Total embedded length of log</t>
  </si>
  <si>
    <t>Average buried depth of log</t>
  </si>
  <si>
    <t>Maximum buried depth of log</t>
  </si>
  <si>
    <t>Below</t>
  </si>
  <si>
    <t>↑</t>
  </si>
  <si>
    <t>↓</t>
  </si>
  <si>
    <t>WS</t>
  </si>
  <si>
    <t>Water surface</t>
  </si>
  <si>
    <t>Total volume of log</t>
  </si>
  <si>
    <t>Total log weight</t>
  </si>
  <si>
    <t>Buoyant force applied to log</t>
  </si>
  <si>
    <t>Effective coefficient of lift for submerged tree</t>
  </si>
  <si>
    <t>Lift force applied to log</t>
  </si>
  <si>
    <t>Volume of soils above stage level of design flow</t>
  </si>
  <si>
    <t>Volume of soils below stage level of design flow</t>
  </si>
  <si>
    <t>Total volume of soils over log</t>
  </si>
  <si>
    <t>Vertical soil loading on log</t>
  </si>
  <si>
    <t>Vertical forces from interactions with other logs</t>
  </si>
  <si>
    <t>Horizontal forces from interactions with other logs</t>
  </si>
  <si>
    <t>S</t>
  </si>
  <si>
    <t>Sum of forces</t>
  </si>
  <si>
    <t>Resultant vertical force applied to log</t>
  </si>
  <si>
    <t>Resultant horizontal force applied to log</t>
  </si>
  <si>
    <t>Coefficient of Passive Earth Pressure</t>
  </si>
  <si>
    <t>Passive soil pressure force applied to log</t>
  </si>
  <si>
    <t>Length of log in contact with bed or banks</t>
  </si>
  <si>
    <t>Coefficient of friction</t>
  </si>
  <si>
    <t>Friction force applied to log</t>
  </si>
  <si>
    <t>Log Froude number</t>
  </si>
  <si>
    <t>Base coefficient of drag for tree, before adjustments</t>
  </si>
  <si>
    <t>Wave drag coefficient of submerged tree</t>
  </si>
  <si>
    <t>Effective coefficient of drag for submerged tree</t>
  </si>
  <si>
    <t>Drag forces applied to log</t>
  </si>
  <si>
    <t>Centroid of the buoyancy force along log axis</t>
  </si>
  <si>
    <t>Centroid of the lift force along log axis</t>
  </si>
  <si>
    <t>Centroid of the drag force along log axis</t>
  </si>
  <si>
    <t>Centroid of the log volume along log axis</t>
  </si>
  <si>
    <t>Centroid of the vertical soil forces along log axis</t>
  </si>
  <si>
    <t>Centroid of the passive soil force along log axis</t>
  </si>
  <si>
    <t>Centroid of the added ballast soil along log axis</t>
  </si>
  <si>
    <t>Centroid of a ballast boulder along log axis</t>
  </si>
  <si>
    <t>Centroid of a mechanical anchor along log axis</t>
  </si>
  <si>
    <r>
      <t>c</t>
    </r>
    <r>
      <rPr>
        <b/>
        <vertAlign val="subscript"/>
        <sz val="10"/>
        <color rgb="FF003300"/>
        <rFont val="Arial"/>
        <family val="2"/>
      </rPr>
      <t>WI</t>
    </r>
    <r>
      <rPr>
        <b/>
        <sz val="10"/>
        <color rgb="FF003300"/>
        <rFont val="Arial"/>
        <family val="2"/>
      </rPr>
      <t xml:space="preserve"> (ft)</t>
    </r>
  </si>
  <si>
    <t>Centroid of a wood interaction force along log axis</t>
  </si>
  <si>
    <t>Driving moment about embedded tip</t>
  </si>
  <si>
    <t>Volume of ballast above stage of design flow</t>
  </si>
  <si>
    <t>Volume of ballast below stage of design flow</t>
  </si>
  <si>
    <t>Total horizontal load capacity of anchor techniques</t>
  </si>
  <si>
    <t>Total vertical load capacity of anchor techniques</t>
  </si>
  <si>
    <t>Vertical soil loading on log from added ballast soil</t>
  </si>
  <si>
    <t>Load capacity of mechanical anchor</t>
  </si>
  <si>
    <t>Equivalent diameter of boulder</t>
  </si>
  <si>
    <t>Volume of boulder above stage of design flow</t>
  </si>
  <si>
    <t>Volume of boulder below stage of design flow</t>
  </si>
  <si>
    <t>Effective weight of boulder</t>
  </si>
  <si>
    <t>Vertical resisting force on log from boulder</t>
  </si>
  <si>
    <t>Horizontal resisting force on log from boulder</t>
  </si>
  <si>
    <t>Notation (continued)</t>
  </si>
  <si>
    <t>Projected area of wood in plane perpendicular to flow</t>
  </si>
  <si>
    <t>Centroid of friction and normal forces along log axis</t>
  </si>
  <si>
    <t>Passive soil pressure applied to log from soil ballast</t>
  </si>
  <si>
    <t>Volume of solids in soil (void ratio calculation)</t>
  </si>
  <si>
    <r>
      <rPr>
        <b/>
        <sz val="10"/>
        <rFont val="Symbol"/>
        <family val="1"/>
        <charset val="2"/>
      </rPr>
      <t>g</t>
    </r>
    <r>
      <rPr>
        <b/>
        <vertAlign val="subscript"/>
        <sz val="10"/>
        <rFont val="Arial"/>
        <family val="2"/>
      </rPr>
      <t>bank</t>
    </r>
  </si>
  <si>
    <r>
      <rPr>
        <b/>
        <sz val="10"/>
        <rFont val="Symbol"/>
        <family val="1"/>
        <charset val="2"/>
      </rPr>
      <t>g</t>
    </r>
    <r>
      <rPr>
        <b/>
        <vertAlign val="subscript"/>
        <sz val="10"/>
        <rFont val="Arial"/>
        <family val="2"/>
      </rPr>
      <t>bank,sat</t>
    </r>
  </si>
  <si>
    <r>
      <rPr>
        <b/>
        <sz val="10"/>
        <rFont val="Symbol"/>
        <family val="1"/>
        <charset val="2"/>
      </rPr>
      <t>g</t>
    </r>
    <r>
      <rPr>
        <b/>
        <sz val="10"/>
        <rFont val="Arial"/>
        <family val="2"/>
      </rPr>
      <t>'</t>
    </r>
    <r>
      <rPr>
        <b/>
        <vertAlign val="subscript"/>
        <sz val="10"/>
        <rFont val="Arial"/>
        <family val="2"/>
      </rPr>
      <t>bank</t>
    </r>
  </si>
  <si>
    <r>
      <rPr>
        <b/>
        <sz val="10"/>
        <rFont val="Symbol"/>
        <family val="1"/>
        <charset val="2"/>
      </rPr>
      <t>g</t>
    </r>
    <r>
      <rPr>
        <b/>
        <vertAlign val="subscript"/>
        <sz val="10"/>
        <rFont val="Arial"/>
        <family val="2"/>
      </rPr>
      <t>bed</t>
    </r>
  </si>
  <si>
    <r>
      <rPr>
        <b/>
        <sz val="10"/>
        <rFont val="Symbol"/>
        <family val="1"/>
        <charset val="2"/>
      </rPr>
      <t>g</t>
    </r>
    <r>
      <rPr>
        <b/>
        <sz val="10"/>
        <rFont val="Arial"/>
        <family val="2"/>
      </rPr>
      <t>'</t>
    </r>
    <r>
      <rPr>
        <b/>
        <vertAlign val="subscript"/>
        <sz val="10"/>
        <rFont val="Arial"/>
        <family val="2"/>
      </rPr>
      <t>bed</t>
    </r>
  </si>
  <si>
    <r>
      <rPr>
        <b/>
        <sz val="10"/>
        <rFont val="Symbol"/>
        <family val="1"/>
        <charset val="2"/>
      </rPr>
      <t>g</t>
    </r>
    <r>
      <rPr>
        <b/>
        <vertAlign val="subscript"/>
        <sz val="10"/>
        <rFont val="Arial"/>
        <family val="2"/>
      </rPr>
      <t>rock</t>
    </r>
  </si>
  <si>
    <r>
      <rPr>
        <b/>
        <sz val="10"/>
        <rFont val="Symbol"/>
        <family val="1"/>
        <charset val="2"/>
      </rPr>
      <t>g</t>
    </r>
    <r>
      <rPr>
        <b/>
        <vertAlign val="subscript"/>
        <sz val="10"/>
        <rFont val="Arial"/>
        <family val="2"/>
      </rPr>
      <t>s</t>
    </r>
  </si>
  <si>
    <r>
      <rPr>
        <b/>
        <sz val="10"/>
        <rFont val="Symbol"/>
        <family val="1"/>
        <charset val="2"/>
      </rPr>
      <t>g</t>
    </r>
    <r>
      <rPr>
        <b/>
        <sz val="10"/>
        <rFont val="Arial"/>
        <family val="2"/>
      </rPr>
      <t>'</t>
    </r>
    <r>
      <rPr>
        <b/>
        <vertAlign val="subscript"/>
        <sz val="10"/>
        <rFont val="Arial"/>
        <family val="2"/>
      </rPr>
      <t>s</t>
    </r>
  </si>
  <si>
    <r>
      <rPr>
        <b/>
        <sz val="10"/>
        <rFont val="Symbol"/>
        <family val="1"/>
        <charset val="2"/>
      </rPr>
      <t>g</t>
    </r>
    <r>
      <rPr>
        <b/>
        <vertAlign val="subscript"/>
        <sz val="10"/>
        <rFont val="Arial"/>
        <family val="2"/>
      </rPr>
      <t>Td</t>
    </r>
  </si>
  <si>
    <r>
      <rPr>
        <b/>
        <sz val="10"/>
        <rFont val="Symbol"/>
        <family val="1"/>
        <charset val="2"/>
      </rPr>
      <t>g</t>
    </r>
    <r>
      <rPr>
        <b/>
        <vertAlign val="subscript"/>
        <sz val="10"/>
        <rFont val="Arial"/>
        <family val="2"/>
      </rPr>
      <t>Tgr</t>
    </r>
  </si>
  <si>
    <r>
      <rPr>
        <b/>
        <sz val="10"/>
        <rFont val="Symbol"/>
        <family val="1"/>
        <charset val="2"/>
      </rPr>
      <t>g</t>
    </r>
    <r>
      <rPr>
        <b/>
        <vertAlign val="subscript"/>
        <sz val="10"/>
        <rFont val="Arial"/>
        <family val="2"/>
      </rPr>
      <t>w</t>
    </r>
  </si>
  <si>
    <r>
      <t>f</t>
    </r>
    <r>
      <rPr>
        <b/>
        <vertAlign val="subscript"/>
        <sz val="10"/>
        <rFont val="Arial"/>
        <family val="2"/>
      </rPr>
      <t>bank</t>
    </r>
  </si>
  <si>
    <r>
      <t>f</t>
    </r>
    <r>
      <rPr>
        <b/>
        <vertAlign val="subscript"/>
        <sz val="10"/>
        <rFont val="Arial"/>
        <family val="2"/>
      </rPr>
      <t>bed</t>
    </r>
  </si>
  <si>
    <r>
      <t>F</t>
    </r>
    <r>
      <rPr>
        <b/>
        <vertAlign val="subscript"/>
        <sz val="10"/>
        <rFont val="Arial"/>
        <family val="2"/>
      </rPr>
      <t>V</t>
    </r>
  </si>
  <si>
    <r>
      <t>Fr</t>
    </r>
    <r>
      <rPr>
        <b/>
        <vertAlign val="subscript"/>
        <sz val="10"/>
        <rFont val="Arial"/>
        <family val="2"/>
      </rPr>
      <t>L</t>
    </r>
  </si>
  <si>
    <r>
      <t>FS</t>
    </r>
    <r>
      <rPr>
        <b/>
        <vertAlign val="subscript"/>
        <sz val="10"/>
        <rFont val="Arial"/>
        <family val="2"/>
      </rPr>
      <t>V</t>
    </r>
  </si>
  <si>
    <r>
      <t>FS</t>
    </r>
    <r>
      <rPr>
        <b/>
        <vertAlign val="subscript"/>
        <sz val="10"/>
        <rFont val="Arial"/>
        <family val="2"/>
      </rPr>
      <t>H</t>
    </r>
  </si>
  <si>
    <r>
      <t>FS</t>
    </r>
    <r>
      <rPr>
        <b/>
        <vertAlign val="subscript"/>
        <sz val="10"/>
        <rFont val="Arial"/>
        <family val="2"/>
      </rPr>
      <t>M</t>
    </r>
  </si>
  <si>
    <r>
      <t>K</t>
    </r>
    <r>
      <rPr>
        <b/>
        <vertAlign val="subscript"/>
        <sz val="10"/>
        <rFont val="Arial"/>
        <family val="2"/>
      </rPr>
      <t>P</t>
    </r>
  </si>
  <si>
    <r>
      <t>L</t>
    </r>
    <r>
      <rPr>
        <b/>
        <vertAlign val="subscript"/>
        <sz val="10"/>
        <rFont val="Arial"/>
        <family val="2"/>
      </rPr>
      <t>T,em</t>
    </r>
  </si>
  <si>
    <r>
      <t>L</t>
    </r>
    <r>
      <rPr>
        <b/>
        <vertAlign val="subscript"/>
        <sz val="10"/>
        <rFont val="Arial"/>
        <family val="2"/>
      </rPr>
      <t>RW</t>
    </r>
  </si>
  <si>
    <r>
      <t>L</t>
    </r>
    <r>
      <rPr>
        <b/>
        <vertAlign val="subscript"/>
        <sz val="10"/>
        <rFont val="Arial"/>
        <family val="2"/>
      </rPr>
      <t>T</t>
    </r>
  </si>
  <si>
    <r>
      <t>L</t>
    </r>
    <r>
      <rPr>
        <b/>
        <vertAlign val="subscript"/>
        <sz val="10"/>
        <rFont val="Arial"/>
        <family val="2"/>
      </rPr>
      <t>Tf</t>
    </r>
  </si>
  <si>
    <r>
      <t>L</t>
    </r>
    <r>
      <rPr>
        <b/>
        <vertAlign val="subscript"/>
        <sz val="10"/>
        <rFont val="Arial"/>
        <family val="2"/>
      </rPr>
      <t>TS</t>
    </r>
  </si>
  <si>
    <r>
      <t>L</t>
    </r>
    <r>
      <rPr>
        <b/>
        <vertAlign val="subscript"/>
        <sz val="10"/>
        <rFont val="Arial"/>
        <family val="2"/>
      </rPr>
      <t>TS,ex</t>
    </r>
  </si>
  <si>
    <r>
      <t>LF</t>
    </r>
    <r>
      <rPr>
        <b/>
        <vertAlign val="subscript"/>
        <sz val="10"/>
        <rFont val="Arial"/>
        <family val="2"/>
      </rPr>
      <t>RW</t>
    </r>
  </si>
  <si>
    <r>
      <t>M</t>
    </r>
    <r>
      <rPr>
        <b/>
        <vertAlign val="subscript"/>
        <sz val="10"/>
        <rFont val="Arial"/>
        <family val="2"/>
      </rPr>
      <t>d</t>
    </r>
  </si>
  <si>
    <r>
      <t>M</t>
    </r>
    <r>
      <rPr>
        <b/>
        <vertAlign val="subscript"/>
        <sz val="10"/>
        <rFont val="Arial"/>
        <family val="2"/>
      </rPr>
      <t>r</t>
    </r>
  </si>
  <si>
    <r>
      <t>p</t>
    </r>
    <r>
      <rPr>
        <b/>
        <vertAlign val="subscript"/>
        <sz val="10"/>
        <rFont val="Arial"/>
        <family val="2"/>
      </rPr>
      <t>o</t>
    </r>
  </si>
  <si>
    <r>
      <t>Q</t>
    </r>
    <r>
      <rPr>
        <b/>
        <vertAlign val="subscript"/>
        <sz val="10"/>
        <rFont val="Arial"/>
        <family val="2"/>
      </rPr>
      <t>des</t>
    </r>
  </si>
  <si>
    <r>
      <t>R</t>
    </r>
    <r>
      <rPr>
        <b/>
        <vertAlign val="subscript"/>
        <sz val="10"/>
        <rFont val="Arial"/>
        <family val="2"/>
      </rPr>
      <t>c</t>
    </r>
  </si>
  <si>
    <r>
      <t>SG</t>
    </r>
    <r>
      <rPr>
        <b/>
        <vertAlign val="subscript"/>
        <sz val="10"/>
        <rFont val="Arial"/>
        <family val="2"/>
      </rPr>
      <t>r</t>
    </r>
  </si>
  <si>
    <r>
      <t>SG</t>
    </r>
    <r>
      <rPr>
        <b/>
        <vertAlign val="subscript"/>
        <sz val="10"/>
        <rFont val="Arial"/>
        <family val="2"/>
      </rPr>
      <t>T</t>
    </r>
  </si>
  <si>
    <r>
      <t>u</t>
    </r>
    <r>
      <rPr>
        <b/>
        <vertAlign val="subscript"/>
        <sz val="10"/>
        <rFont val="Arial"/>
        <family val="2"/>
      </rPr>
      <t>avg</t>
    </r>
  </si>
  <si>
    <r>
      <t>u</t>
    </r>
    <r>
      <rPr>
        <b/>
        <vertAlign val="subscript"/>
        <sz val="10"/>
        <rFont val="Arial"/>
        <family val="2"/>
      </rPr>
      <t>des</t>
    </r>
  </si>
  <si>
    <r>
      <t>u</t>
    </r>
    <r>
      <rPr>
        <b/>
        <vertAlign val="subscript"/>
        <sz val="10"/>
        <rFont val="Arial"/>
        <family val="2"/>
      </rPr>
      <t>m</t>
    </r>
  </si>
  <si>
    <r>
      <t>V</t>
    </r>
    <r>
      <rPr>
        <b/>
        <vertAlign val="subscript"/>
        <sz val="10"/>
        <rFont val="Arial"/>
        <family val="2"/>
      </rPr>
      <t>dry</t>
    </r>
  </si>
  <si>
    <r>
      <t>V</t>
    </r>
    <r>
      <rPr>
        <b/>
        <vertAlign val="subscript"/>
        <sz val="10"/>
        <rFont val="Arial"/>
        <family val="2"/>
      </rPr>
      <t>sat</t>
    </r>
  </si>
  <si>
    <r>
      <t>V</t>
    </r>
    <r>
      <rPr>
        <b/>
        <vertAlign val="subscript"/>
        <sz val="10"/>
        <rFont val="Arial"/>
        <family val="2"/>
      </rPr>
      <t>soil</t>
    </r>
  </si>
  <si>
    <r>
      <t>V</t>
    </r>
    <r>
      <rPr>
        <b/>
        <vertAlign val="subscript"/>
        <sz val="10"/>
        <rFont val="Arial"/>
        <family val="2"/>
      </rPr>
      <t>RW</t>
    </r>
  </si>
  <si>
    <r>
      <t>V</t>
    </r>
    <r>
      <rPr>
        <b/>
        <vertAlign val="subscript"/>
        <sz val="10"/>
        <rFont val="Arial"/>
        <family val="2"/>
      </rPr>
      <t>S</t>
    </r>
  </si>
  <si>
    <r>
      <t>V</t>
    </r>
    <r>
      <rPr>
        <b/>
        <vertAlign val="subscript"/>
        <sz val="10"/>
        <rFont val="Arial"/>
        <family val="2"/>
      </rPr>
      <t>T</t>
    </r>
  </si>
  <si>
    <r>
      <t>V</t>
    </r>
    <r>
      <rPr>
        <b/>
        <vertAlign val="subscript"/>
        <sz val="10"/>
        <rFont val="Arial"/>
        <family val="2"/>
      </rPr>
      <t>TS</t>
    </r>
  </si>
  <si>
    <r>
      <t>V</t>
    </r>
    <r>
      <rPr>
        <b/>
        <vertAlign val="subscript"/>
        <sz val="10"/>
        <rFont val="Arial"/>
        <family val="2"/>
      </rPr>
      <t>V</t>
    </r>
  </si>
  <si>
    <r>
      <t>V</t>
    </r>
    <r>
      <rPr>
        <b/>
        <vertAlign val="subscript"/>
        <sz val="10"/>
        <rFont val="Arial"/>
        <family val="2"/>
      </rPr>
      <t>Adry</t>
    </r>
  </si>
  <si>
    <r>
      <t>V</t>
    </r>
    <r>
      <rPr>
        <b/>
        <vertAlign val="subscript"/>
        <sz val="10"/>
        <rFont val="Arial"/>
        <family val="2"/>
      </rPr>
      <t>Awet</t>
    </r>
  </si>
  <si>
    <r>
      <t>V</t>
    </r>
    <r>
      <rPr>
        <b/>
        <vertAlign val="subscript"/>
        <sz val="10"/>
        <rFont val="Arial"/>
        <family val="2"/>
      </rPr>
      <t>r,dry</t>
    </r>
  </si>
  <si>
    <r>
      <t>V</t>
    </r>
    <r>
      <rPr>
        <b/>
        <vertAlign val="subscript"/>
        <sz val="10"/>
        <rFont val="Arial"/>
        <family val="2"/>
      </rPr>
      <t>r,wet</t>
    </r>
  </si>
  <si>
    <r>
      <t>W</t>
    </r>
    <r>
      <rPr>
        <b/>
        <vertAlign val="subscript"/>
        <sz val="10"/>
        <rFont val="Arial"/>
        <family val="2"/>
      </rPr>
      <t>BF</t>
    </r>
  </si>
  <si>
    <r>
      <t>W</t>
    </r>
    <r>
      <rPr>
        <b/>
        <vertAlign val="subscript"/>
        <sz val="10"/>
        <rFont val="Arial"/>
        <family val="2"/>
      </rPr>
      <t>r</t>
    </r>
  </si>
  <si>
    <r>
      <t>W</t>
    </r>
    <r>
      <rPr>
        <b/>
        <vertAlign val="subscript"/>
        <sz val="10"/>
        <rFont val="Arial"/>
        <family val="2"/>
      </rPr>
      <t>T</t>
    </r>
  </si>
  <si>
    <r>
      <t>y</t>
    </r>
    <r>
      <rPr>
        <b/>
        <vertAlign val="subscript"/>
        <sz val="10"/>
        <rFont val="Arial"/>
        <family val="2"/>
      </rPr>
      <t>T,max</t>
    </r>
  </si>
  <si>
    <r>
      <t>y</t>
    </r>
    <r>
      <rPr>
        <b/>
        <vertAlign val="subscript"/>
        <sz val="10"/>
        <rFont val="Arial"/>
        <family val="2"/>
      </rPr>
      <t>T,min</t>
    </r>
  </si>
  <si>
    <r>
      <t>A</t>
    </r>
    <r>
      <rPr>
        <b/>
        <vertAlign val="subscript"/>
        <sz val="10"/>
        <rFont val="Arial"/>
        <family val="2"/>
      </rPr>
      <t>Tp</t>
    </r>
  </si>
  <si>
    <r>
      <t>c</t>
    </r>
    <r>
      <rPr>
        <b/>
        <vertAlign val="subscript"/>
        <sz val="10"/>
        <rFont val="Arial"/>
        <family val="2"/>
      </rPr>
      <t>D</t>
    </r>
  </si>
  <si>
    <r>
      <t>c</t>
    </r>
    <r>
      <rPr>
        <b/>
        <vertAlign val="subscript"/>
        <sz val="10"/>
        <rFont val="Arial"/>
        <family val="2"/>
      </rPr>
      <t>Am</t>
    </r>
  </si>
  <si>
    <r>
      <t>c</t>
    </r>
    <r>
      <rPr>
        <b/>
        <vertAlign val="subscript"/>
        <sz val="10"/>
        <rFont val="Arial"/>
        <family val="2"/>
      </rPr>
      <t>Ar</t>
    </r>
  </si>
  <si>
    <r>
      <t>c</t>
    </r>
    <r>
      <rPr>
        <b/>
        <vertAlign val="subscript"/>
        <sz val="10"/>
        <rFont val="Arial"/>
        <family val="2"/>
      </rPr>
      <t>Asoil</t>
    </r>
  </si>
  <si>
    <r>
      <t>c</t>
    </r>
    <r>
      <rPr>
        <b/>
        <vertAlign val="subscript"/>
        <sz val="10"/>
        <rFont val="Arial"/>
        <family val="2"/>
      </rPr>
      <t>F&amp;N</t>
    </r>
  </si>
  <si>
    <r>
      <t>c</t>
    </r>
    <r>
      <rPr>
        <b/>
        <vertAlign val="subscript"/>
        <sz val="10"/>
        <rFont val="Arial"/>
        <family val="2"/>
      </rPr>
      <t>L</t>
    </r>
  </si>
  <si>
    <r>
      <t>c</t>
    </r>
    <r>
      <rPr>
        <b/>
        <vertAlign val="subscript"/>
        <sz val="10"/>
        <rFont val="Arial"/>
        <family val="2"/>
      </rPr>
      <t>P</t>
    </r>
  </si>
  <si>
    <r>
      <t>c</t>
    </r>
    <r>
      <rPr>
        <b/>
        <vertAlign val="subscript"/>
        <sz val="10"/>
        <rFont val="Arial"/>
        <family val="2"/>
      </rPr>
      <t>soil</t>
    </r>
  </si>
  <si>
    <r>
      <t>c</t>
    </r>
    <r>
      <rPr>
        <b/>
        <vertAlign val="subscript"/>
        <sz val="10"/>
        <rFont val="Arial"/>
        <family val="2"/>
      </rPr>
      <t>T,B</t>
    </r>
  </si>
  <si>
    <r>
      <t>c</t>
    </r>
    <r>
      <rPr>
        <b/>
        <vertAlign val="subscript"/>
        <sz val="10"/>
        <rFont val="Arial"/>
        <family val="2"/>
      </rPr>
      <t>T,W</t>
    </r>
  </si>
  <si>
    <r>
      <t>c</t>
    </r>
    <r>
      <rPr>
        <b/>
        <vertAlign val="subscript"/>
        <sz val="10"/>
        <rFont val="Arial"/>
        <family val="2"/>
      </rPr>
      <t>WI</t>
    </r>
  </si>
  <si>
    <r>
      <t>C</t>
    </r>
    <r>
      <rPr>
        <b/>
        <vertAlign val="subscript"/>
        <sz val="10"/>
        <rFont val="Arial"/>
        <family val="2"/>
      </rPr>
      <t>Lrock</t>
    </r>
  </si>
  <si>
    <r>
      <t>C</t>
    </r>
    <r>
      <rPr>
        <b/>
        <vertAlign val="subscript"/>
        <sz val="10"/>
        <rFont val="Arial"/>
        <family val="2"/>
      </rPr>
      <t>LT</t>
    </r>
  </si>
  <si>
    <r>
      <t>C</t>
    </r>
    <r>
      <rPr>
        <b/>
        <vertAlign val="subscript"/>
        <sz val="10"/>
        <rFont val="Arial"/>
        <family val="2"/>
      </rPr>
      <t>Di</t>
    </r>
  </si>
  <si>
    <r>
      <t>C</t>
    </r>
    <r>
      <rPr>
        <b/>
        <vertAlign val="subscript"/>
        <sz val="10"/>
        <rFont val="Arial"/>
        <family val="2"/>
      </rPr>
      <t>D</t>
    </r>
    <r>
      <rPr>
        <b/>
        <sz val="10"/>
        <rFont val="Arial"/>
        <family val="2"/>
      </rPr>
      <t>*</t>
    </r>
  </si>
  <si>
    <r>
      <t>C</t>
    </r>
    <r>
      <rPr>
        <b/>
        <vertAlign val="subscript"/>
        <sz val="10"/>
        <rFont val="Arial"/>
        <family val="2"/>
      </rPr>
      <t>W</t>
    </r>
  </si>
  <si>
    <r>
      <t>d</t>
    </r>
    <r>
      <rPr>
        <b/>
        <vertAlign val="subscript"/>
        <sz val="10"/>
        <rFont val="Arial"/>
        <family val="2"/>
      </rPr>
      <t>b,avg</t>
    </r>
  </si>
  <si>
    <r>
      <t>d</t>
    </r>
    <r>
      <rPr>
        <b/>
        <vertAlign val="subscript"/>
        <sz val="10"/>
        <rFont val="Arial"/>
        <family val="2"/>
      </rPr>
      <t>b,max</t>
    </r>
  </si>
  <si>
    <r>
      <t>d</t>
    </r>
    <r>
      <rPr>
        <b/>
        <vertAlign val="subscript"/>
        <sz val="10"/>
        <rFont val="Arial"/>
        <family val="2"/>
      </rPr>
      <t>w</t>
    </r>
  </si>
  <si>
    <r>
      <t>D</t>
    </r>
    <r>
      <rPr>
        <b/>
        <vertAlign val="subscript"/>
        <sz val="10"/>
        <rFont val="Arial"/>
        <family val="2"/>
      </rPr>
      <t>50</t>
    </r>
  </si>
  <si>
    <r>
      <t>D</t>
    </r>
    <r>
      <rPr>
        <b/>
        <vertAlign val="subscript"/>
        <sz val="10"/>
        <rFont val="Arial"/>
        <family val="2"/>
      </rPr>
      <t>r</t>
    </r>
  </si>
  <si>
    <r>
      <t>D</t>
    </r>
    <r>
      <rPr>
        <b/>
        <vertAlign val="subscript"/>
        <sz val="10"/>
        <rFont val="Arial"/>
        <family val="2"/>
      </rPr>
      <t>RW</t>
    </r>
  </si>
  <si>
    <r>
      <t>D</t>
    </r>
    <r>
      <rPr>
        <b/>
        <vertAlign val="subscript"/>
        <sz val="10"/>
        <rFont val="Arial"/>
        <family val="2"/>
      </rPr>
      <t>TS</t>
    </r>
  </si>
  <si>
    <r>
      <t>DF</t>
    </r>
    <r>
      <rPr>
        <b/>
        <vertAlign val="subscript"/>
        <sz val="10"/>
        <rFont val="Arial"/>
        <family val="2"/>
      </rPr>
      <t>RW</t>
    </r>
  </si>
  <si>
    <r>
      <t>F</t>
    </r>
    <r>
      <rPr>
        <b/>
        <vertAlign val="subscript"/>
        <sz val="10"/>
        <rFont val="Arial"/>
        <family val="2"/>
      </rPr>
      <t>A,H</t>
    </r>
  </si>
  <si>
    <r>
      <t>F</t>
    </r>
    <r>
      <rPr>
        <b/>
        <vertAlign val="subscript"/>
        <sz val="10"/>
        <rFont val="Arial"/>
        <family val="2"/>
      </rPr>
      <t>A,HP</t>
    </r>
  </si>
  <si>
    <r>
      <t>F</t>
    </r>
    <r>
      <rPr>
        <b/>
        <vertAlign val="subscript"/>
        <sz val="10"/>
        <rFont val="Arial"/>
        <family val="2"/>
      </rPr>
      <t>A,Hr</t>
    </r>
  </si>
  <si>
    <r>
      <t>F</t>
    </r>
    <r>
      <rPr>
        <b/>
        <vertAlign val="subscript"/>
        <sz val="10"/>
        <rFont val="Arial"/>
        <family val="2"/>
      </rPr>
      <t>A,V</t>
    </r>
  </si>
  <si>
    <r>
      <t>F</t>
    </r>
    <r>
      <rPr>
        <b/>
        <vertAlign val="subscript"/>
        <sz val="10"/>
        <rFont val="Arial"/>
        <family val="2"/>
      </rPr>
      <t>A,Vr</t>
    </r>
  </si>
  <si>
    <r>
      <t>F</t>
    </r>
    <r>
      <rPr>
        <b/>
        <vertAlign val="subscript"/>
        <sz val="10"/>
        <rFont val="Arial"/>
        <family val="2"/>
      </rPr>
      <t>A,Vsoil</t>
    </r>
  </si>
  <si>
    <r>
      <t>F</t>
    </r>
    <r>
      <rPr>
        <b/>
        <vertAlign val="subscript"/>
        <sz val="10"/>
        <rFont val="Arial"/>
        <family val="2"/>
      </rPr>
      <t>B</t>
    </r>
  </si>
  <si>
    <r>
      <t>F</t>
    </r>
    <r>
      <rPr>
        <b/>
        <vertAlign val="subscript"/>
        <sz val="10"/>
        <rFont val="Arial"/>
        <family val="2"/>
      </rPr>
      <t>D</t>
    </r>
  </si>
  <si>
    <r>
      <t>F</t>
    </r>
    <r>
      <rPr>
        <b/>
        <vertAlign val="subscript"/>
        <sz val="10"/>
        <rFont val="Arial"/>
        <family val="2"/>
      </rPr>
      <t>D,r</t>
    </r>
  </si>
  <si>
    <r>
      <t>F</t>
    </r>
    <r>
      <rPr>
        <b/>
        <vertAlign val="subscript"/>
        <sz val="10"/>
        <rFont val="Arial"/>
        <family val="2"/>
      </rPr>
      <t>F</t>
    </r>
  </si>
  <si>
    <r>
      <t>F</t>
    </r>
    <r>
      <rPr>
        <b/>
        <vertAlign val="subscript"/>
        <sz val="10"/>
        <rFont val="Arial"/>
        <family val="2"/>
      </rPr>
      <t>H</t>
    </r>
  </si>
  <si>
    <r>
      <t>F</t>
    </r>
    <r>
      <rPr>
        <b/>
        <vertAlign val="subscript"/>
        <sz val="10"/>
        <rFont val="Arial"/>
        <family val="2"/>
      </rPr>
      <t>L</t>
    </r>
  </si>
  <si>
    <r>
      <t>F</t>
    </r>
    <r>
      <rPr>
        <b/>
        <vertAlign val="subscript"/>
        <sz val="10"/>
        <rFont val="Arial"/>
        <family val="2"/>
      </rPr>
      <t>L,r</t>
    </r>
  </si>
  <si>
    <r>
      <t>F</t>
    </r>
    <r>
      <rPr>
        <b/>
        <vertAlign val="subscript"/>
        <sz val="10"/>
        <rFont val="Arial"/>
        <family val="2"/>
      </rPr>
      <t>P</t>
    </r>
  </si>
  <si>
    <r>
      <t>F</t>
    </r>
    <r>
      <rPr>
        <b/>
        <vertAlign val="subscript"/>
        <sz val="10"/>
        <rFont val="Arial"/>
        <family val="2"/>
      </rPr>
      <t>soil</t>
    </r>
  </si>
  <si>
    <r>
      <t>F</t>
    </r>
    <r>
      <rPr>
        <b/>
        <vertAlign val="subscript"/>
        <sz val="10"/>
        <rFont val="Arial"/>
        <family val="2"/>
      </rPr>
      <t>W,H</t>
    </r>
  </si>
  <si>
    <r>
      <t>F</t>
    </r>
    <r>
      <rPr>
        <b/>
        <vertAlign val="subscript"/>
        <sz val="10"/>
        <rFont val="Arial"/>
        <family val="2"/>
      </rPr>
      <t>W,V</t>
    </r>
  </si>
  <si>
    <r>
      <t>A</t>
    </r>
    <r>
      <rPr>
        <b/>
        <vertAlign val="subscript"/>
        <sz val="10"/>
        <rFont val="Arial"/>
        <family val="2"/>
      </rPr>
      <t>W</t>
    </r>
  </si>
  <si>
    <t>Unit</t>
  </si>
  <si>
    <r>
      <t>F</t>
    </r>
    <r>
      <rPr>
        <b/>
        <vertAlign val="subscript"/>
        <sz val="10"/>
        <rFont val="Arial"/>
        <family val="2"/>
      </rPr>
      <t>Am</t>
    </r>
  </si>
  <si>
    <t>Soil Ballast #1</t>
  </si>
  <si>
    <r>
      <t>M</t>
    </r>
    <r>
      <rPr>
        <vertAlign val="subscript"/>
        <sz val="10"/>
        <color theme="0" tint="-0.499984740745262"/>
        <rFont val="Arial"/>
        <family val="2"/>
      </rPr>
      <t>d</t>
    </r>
  </si>
  <si>
    <r>
      <t>M</t>
    </r>
    <r>
      <rPr>
        <vertAlign val="subscript"/>
        <sz val="10"/>
        <color theme="0" tint="-0.499984740745262"/>
        <rFont val="Arial"/>
        <family val="2"/>
      </rPr>
      <t>r</t>
    </r>
  </si>
  <si>
    <t>Buried anchors</t>
  </si>
  <si>
    <t>Total (lbf)</t>
  </si>
  <si>
    <t>Required Vertical Resistance (lbf)</t>
  </si>
  <si>
    <t>Actual Vertical Resistance (lbf)</t>
  </si>
  <si>
    <t>Required Horizontal Resistance (lbf)</t>
  </si>
  <si>
    <t>Actual Horizontal Resistance (lbf)</t>
  </si>
  <si>
    <t>Extra needed Horizontal Resistance (lbf)</t>
  </si>
  <si>
    <t>Flex</t>
  </si>
  <si>
    <t>Extra Needed Vertical Resistance (lbf)</t>
  </si>
  <si>
    <r>
      <rPr>
        <sz val="10"/>
        <color theme="0" tint="-0.499984740745262"/>
        <rFont val="Calibri"/>
        <family val="2"/>
      </rPr>
      <t>←</t>
    </r>
    <r>
      <rPr>
        <sz val="10"/>
        <color theme="0" tint="-0.499984740745262"/>
        <rFont val="Arial"/>
        <family val="2"/>
      </rPr>
      <t>Flex anchors</t>
    </r>
  </si>
  <si>
    <t>*Distances are from the stem tip</t>
  </si>
  <si>
    <t>Point of Rotation:</t>
  </si>
  <si>
    <t>Stem Tip</t>
  </si>
  <si>
    <t>Root Collar or RW</t>
  </si>
  <si>
    <t>Additional resisting moment force (lbf) needed:</t>
  </si>
  <si>
    <t>Notation, Units, and List of Symbols</t>
  </si>
  <si>
    <t>Log Interactions</t>
  </si>
  <si>
    <t>Ex</t>
  </si>
  <si>
    <t>Reference for Companion Paper:</t>
  </si>
  <si>
    <r>
      <rPr>
        <b/>
        <sz val="10"/>
        <rFont val="Arial"/>
        <family val="2"/>
      </rPr>
      <t>User Input Note 2 -</t>
    </r>
    <r>
      <rPr>
        <sz val="10"/>
        <rFont val="Arial"/>
        <family val="2"/>
      </rPr>
      <t xml:space="preserve"> User may enter a </t>
    </r>
    <r>
      <rPr>
        <sz val="10"/>
        <color rgb="FFFF0000"/>
        <rFont val="Arial"/>
        <family val="2"/>
      </rPr>
      <t>custom</t>
    </r>
    <r>
      <rPr>
        <sz val="10"/>
        <rFont val="Arial"/>
        <family val="2"/>
      </rPr>
      <t xml:space="preserve"> "bank soil type", "wood species", or "anchor type" by scrolling over to the right to find the lookup table and editing the "custom" cells.</t>
    </r>
  </si>
  <si>
    <r>
      <rPr>
        <b/>
        <sz val="10"/>
        <rFont val="Arial"/>
        <family val="2"/>
      </rPr>
      <t>User Input Note 1 -</t>
    </r>
    <r>
      <rPr>
        <sz val="10"/>
        <rFont val="Arial"/>
        <family val="2"/>
      </rPr>
      <t xml:space="preserve"> Several worksheets have a built in "clear inputs" button linked to a macro (these are the only macros built into the tool).  Be aware that you </t>
    </r>
    <r>
      <rPr>
        <sz val="10"/>
        <color rgb="FFFF0000"/>
        <rFont val="Arial"/>
        <family val="2"/>
      </rPr>
      <t>can't undo</t>
    </r>
    <r>
      <rPr>
        <sz val="10"/>
        <rFont val="Arial"/>
        <family val="2"/>
      </rPr>
      <t xml:space="preserve"> the "clear input" command.</t>
    </r>
  </si>
  <si>
    <r>
      <rPr>
        <b/>
        <sz val="10"/>
        <rFont val="Arial"/>
        <family val="2"/>
      </rPr>
      <t>User Input Note 5 -</t>
    </r>
    <r>
      <rPr>
        <sz val="10"/>
        <rFont val="Arial"/>
        <family val="2"/>
      </rPr>
      <t xml:space="preserve"> To avoid compounding potential errors, the user should use the </t>
    </r>
    <r>
      <rPr>
        <sz val="10"/>
        <color rgb="FFFF0000"/>
        <rFont val="Arial"/>
        <family val="2"/>
      </rPr>
      <t>original</t>
    </r>
    <r>
      <rPr>
        <sz val="10"/>
        <rFont val="Arial"/>
        <family val="2"/>
      </rPr>
      <t xml:space="preserve"> download version of the spreadsheet (without edits) at the beginning of each design.</t>
    </r>
  </si>
  <si>
    <r>
      <t>W</t>
    </r>
    <r>
      <rPr>
        <b/>
        <vertAlign val="subscript"/>
        <sz val="10"/>
        <color rgb="FF003300"/>
        <rFont val="Arial"/>
        <family val="2"/>
      </rPr>
      <t>r</t>
    </r>
    <r>
      <rPr>
        <b/>
        <sz val="10"/>
        <color rgb="FF003300"/>
        <rFont val="Arial"/>
        <family val="2"/>
      </rPr>
      <t xml:space="preserve"> (lbf)</t>
    </r>
  </si>
  <si>
    <t>The LW Stability Analysis Tool can also be used to design multiple log structures.  The user must manually translate the resulting vertical and horizontal forces from one log design sheet into another (or write their own formulas).  This data should be entered in the "Interaction Forces with Adjacent Logs" section of the "Single Log Design" worksheet.  In theory, there is no limit to the number of logs that can be considered, although the force balance accounting may become cumbersome beyond a few logs.  The general procedure is as follows:</t>
  </si>
  <si>
    <t>Begin by creating a preliminary structure layout (in AutoCAD or similar) to define the quantity of logs, locate intersect points, and identify key members.  Key members are typically the largest logs (or the logs that are going to be have anchors attached).</t>
  </si>
  <si>
    <t>Fill out Sheets 1 through 5 of this tool.  Next, input the channel geometry in a blank "Single Log Design" worksheet (Sheet 6), and then make copies for analysis of each log.</t>
  </si>
  <si>
    <r>
      <t>F</t>
    </r>
    <r>
      <rPr>
        <b/>
        <vertAlign val="subscript"/>
        <sz val="10"/>
        <rFont val="Arial"/>
        <family val="2"/>
      </rPr>
      <t>V</t>
    </r>
    <r>
      <rPr>
        <b/>
        <sz val="10"/>
        <rFont val="Arial"/>
        <family val="2"/>
      </rPr>
      <t xml:space="preserve"> (lbf)</t>
    </r>
  </si>
  <si>
    <r>
      <t>F</t>
    </r>
    <r>
      <rPr>
        <b/>
        <vertAlign val="subscript"/>
        <sz val="10"/>
        <rFont val="Arial"/>
        <family val="2"/>
      </rPr>
      <t>H</t>
    </r>
    <r>
      <rPr>
        <b/>
        <sz val="10"/>
        <rFont val="Arial"/>
        <family val="2"/>
      </rPr>
      <t xml:space="preserve"> (lbf)</t>
    </r>
  </si>
  <si>
    <t>Top #1</t>
  </si>
  <si>
    <t>Top #2</t>
  </si>
  <si>
    <t>Top #3</t>
  </si>
  <si>
    <r>
      <t xml:space="preserve">Complete a force balance analysis for each "non-key member" log, ignoring the "Interaction Forces with Adjacent Logs" and "Anchor Forces" sections.  The user should manually record the resisting forces required to stabilize each "non-key member" in a table.  The required vertical force can be found in cell 'K61' of the "Single Log Design" worksheet, and the required horizontal force can be found in cell 'K72'.  If the log is already vertically or horizontally stable, record the excess force that may be applied to resist driving forces of the adjacent log(s).  This information can be found in cell 'K62' and 'K73'.  An example table is shown to the right of these directions </t>
    </r>
    <r>
      <rPr>
        <b/>
        <sz val="10"/>
        <color rgb="FFFF0000"/>
        <rFont val="Calibri"/>
        <family val="2"/>
      </rPr>
      <t>→</t>
    </r>
  </si>
  <si>
    <r>
      <t>F</t>
    </r>
    <r>
      <rPr>
        <b/>
        <vertAlign val="subscript"/>
        <sz val="10"/>
        <rFont val="Arial"/>
        <family val="2"/>
      </rPr>
      <t>V</t>
    </r>
    <r>
      <rPr>
        <b/>
        <sz val="10"/>
        <rFont val="Arial"/>
        <family val="2"/>
      </rPr>
      <t xml:space="preserve"> (per "key log")</t>
    </r>
  </si>
  <si>
    <r>
      <t>F</t>
    </r>
    <r>
      <rPr>
        <b/>
        <vertAlign val="subscript"/>
        <sz val="10"/>
        <rFont val="Arial"/>
        <family val="2"/>
      </rPr>
      <t>H</t>
    </r>
    <r>
      <rPr>
        <b/>
        <sz val="10"/>
        <rFont val="Arial"/>
        <family val="2"/>
      </rPr>
      <t xml:space="preserve"> (per "key log")</t>
    </r>
  </si>
  <si>
    <t>* In this example, the required resisting forces for the 3 "non-key" members are divided between 2 proposed "key" members.  Note that the log identified as "Top #3" is horizontally stable (hence, listed as a negative number), with an excess resisting force of 3,547 lbf.  This excess force may be applied to resist the driving horizontal forces of the "key" members, provided the logs are pinned together.  These values in the columns highlighted in light yellow should be entered exactly as shown in the "Interaction Forces with Adjacent Logs" section of the "Single Log Design" worksheet for each "key" member.</t>
  </si>
  <si>
    <t>Complete a force balance analysis for the "key members".  In the "Interaction Forces with Adjacent Logs" section on the force balance sheet, enter the relative position of each adjacent log in contact with the key member, the connection type (gravity or pinned), the intersection point, and the required vertical and horizontal forces to achieve stability for each "non-key member".  If the load from the adjacent logs is spread over multiple key members, divide the required forces by the number of key members sharing the load (note--these loads do not need to be evenly distributed between key members).  If an adjacent log is either horizontally or vertically stable, then enter any excess force (see Step 3 above) value as a negative number in the "key member" design spreadsheet.  The tool will automatically determine which loads are transferable to the next layer of logs.  For instance, a non-pinned member situated above the key member will not transfer buoyancy force to the key member.</t>
  </si>
  <si>
    <r>
      <rPr>
        <b/>
        <sz val="10"/>
        <rFont val="Arial"/>
        <family val="2"/>
      </rPr>
      <t>Tip 1:</t>
    </r>
    <r>
      <rPr>
        <sz val="10"/>
        <rFont val="Arial"/>
        <family val="2"/>
      </rPr>
      <t xml:space="preserve">  It is recommended that the user creates a spreadsheet to tally the transferred forces for each log.</t>
    </r>
  </si>
  <si>
    <r>
      <rPr>
        <b/>
        <sz val="10"/>
        <rFont val="Arial"/>
        <family val="2"/>
      </rPr>
      <t>Tip 2:</t>
    </r>
    <r>
      <rPr>
        <sz val="10"/>
        <rFont val="Arial"/>
        <family val="2"/>
      </rPr>
      <t xml:space="preserve">  The design of multiple log structures should initially focus on achieving vertical stability, before moving on to horizontal stability, and finally the moment analysis.</t>
    </r>
  </si>
  <si>
    <r>
      <rPr>
        <b/>
        <sz val="10"/>
        <rFont val="Arial"/>
        <family val="2"/>
      </rPr>
      <t>Note 1:</t>
    </r>
    <r>
      <rPr>
        <sz val="10"/>
        <rFont val="Arial"/>
        <family val="2"/>
      </rPr>
      <t xml:space="preserve">  Most design procedures for larger wood jams (ELJ's) typically ignore the lift and moment forces, and the drag coefficient may be assumed to be between 0.6 and 0.7 for the entire structure (plus corrections for constriction, or blockage, of the channel).  Therefore, the analysis procedure described above is likely conservative for larger structures.</t>
    </r>
  </si>
  <si>
    <r>
      <rPr>
        <b/>
        <sz val="10"/>
        <rFont val="Arial"/>
        <family val="2"/>
      </rPr>
      <t>Note 2:</t>
    </r>
    <r>
      <rPr>
        <sz val="10"/>
        <rFont val="Arial"/>
        <family val="2"/>
      </rPr>
      <t xml:space="preserve">  The designer should also perform scour computations and consider the structure's potential to trap mobile wood.  The design and/or factor of safety may need modified accordingly.</t>
    </r>
  </si>
  <si>
    <t>Any other comments for improvement</t>
  </si>
  <si>
    <r>
      <rPr>
        <b/>
        <sz val="10"/>
        <color rgb="FFFF0000"/>
        <rFont val="Arial"/>
        <family val="2"/>
      </rPr>
      <t>(Example)</t>
    </r>
    <r>
      <rPr>
        <b/>
        <sz val="10"/>
        <rFont val="Arial"/>
        <family val="2"/>
      </rPr>
      <t xml:space="preserve"> Required Resisting Forces for "Non-Key" Members (to be supplied by "Key" Members)</t>
    </r>
  </si>
  <si>
    <t>Return to the "non-key member" log worksheets and in the "Interaction Forces with Adjacent Logs" section, input the forces that were resisted by the stability analysis of the key members.  Add additional "Anchor Forces" as necessary to stabilize the forces that were not resisted by the design of the key members.</t>
  </si>
  <si>
    <t>7 - 8</t>
  </si>
  <si>
    <t>9 - 10</t>
  </si>
  <si>
    <r>
      <t xml:space="preserve">Rafferty, M. (2013). </t>
    </r>
    <r>
      <rPr>
        <b/>
        <i/>
        <sz val="10"/>
        <color rgb="FF003300"/>
        <rFont val="Arial"/>
        <family val="2"/>
      </rPr>
      <t>Development of a Computational Design Tool for Evaluating the Stability of Large Wood Structures Proposed for Stream Enhancement</t>
    </r>
    <r>
      <rPr>
        <b/>
        <sz val="10"/>
        <color rgb="FF003300"/>
        <rFont val="Arial"/>
        <family val="2"/>
      </rPr>
      <t>. Masters of Science Thesis, Colorado State University.</t>
    </r>
  </si>
  <si>
    <t>Project Name</t>
  </si>
  <si>
    <t>Name</t>
  </si>
  <si>
    <t>www.engr.colostate.edu/~bbledsoe/streamtools/</t>
  </si>
  <si>
    <t xml:space="preserve">This Microsoft Excel 2010 spreadsheet tool is provided free of charge.  Use this tool at your own risk.  In offering this tool, the author and Colorado State University do not accept any responsibility or liability for the tool's use by third parties.  This tool has specific uses and limits of applicability.  Design practitioners shall take full responsibility for the final large wood structure design and performance.  Designers are expected to verify the calculated values and validity of the design method.  Designers should be qualified to work in river environments, and depending on the State, they may be required to be licensed as a professional engineer to design large wood structures.  You cannot be sure the tool is authentic and unmolested unless downloaded from the following website:  </t>
  </si>
  <si>
    <t>michael.rafferty@otak.com</t>
  </si>
</sst>
</file>

<file path=xl/styles.xml><?xml version="1.0" encoding="utf-8"?>
<styleSheet xmlns="http://schemas.openxmlformats.org/spreadsheetml/2006/main">
  <numFmts count="17">
    <numFmt numFmtId="41" formatCode="_(* #,##0_);_(* \(#,##0\);_(* &quot;-&quot;_);_(@_)"/>
    <numFmt numFmtId="43" formatCode="_(* #,##0.00_);_(* \(#,##0.00\);_(* &quot;-&quot;??_);_(@_)"/>
    <numFmt numFmtId="164" formatCode="0.0"/>
    <numFmt numFmtId="165" formatCode="[$-409]mmmm\ d\,\ yyyy;@"/>
    <numFmt numFmtId="166" formatCode="_-* #,##0.00_-;\-* #,##0.00_-;_-* &quot;-&quot;??_-;_-@_-"/>
    <numFmt numFmtId="167" formatCode="#,##0.0_);\(#,##0.0\)"/>
    <numFmt numFmtId="168" formatCode="#,##0.0000"/>
    <numFmt numFmtId="169" formatCode="#,##0.0"/>
    <numFmt numFmtId="170" formatCode="0.0000"/>
    <numFmt numFmtId="171" formatCode="#.##\ &quot;= Sum of Vertical Forces&quot;"/>
    <numFmt numFmtId="172" formatCode="#.00\ &quot;= Sum of Horizontal Forces&quot;"/>
    <numFmt numFmtId="173" formatCode="#.00\ &quot;= Sum of Moment Forces&quot;"/>
    <numFmt numFmtId="174" formatCode="#.00\ &quot;= Target Vertical Force Factor of Safety&quot;"/>
    <numFmt numFmtId="175" formatCode="#.00\ &quot;= Target Horizontal Force Factor of Safety&quot;"/>
    <numFmt numFmtId="176" formatCode="#.00\ &quot;= Target Moment Force Factor of Safety&quot;"/>
    <numFmt numFmtId="177" formatCode="#,##0.000"/>
    <numFmt numFmtId="178" formatCode="#,###\ &quot;lbf excess&quot;"/>
  </numFmts>
  <fonts count="87">
    <font>
      <sz val="10"/>
      <name val="Arial"/>
    </font>
    <font>
      <sz val="11"/>
      <color theme="1"/>
      <name val="Calibri"/>
      <family val="2"/>
      <scheme val="minor"/>
    </font>
    <font>
      <sz val="10"/>
      <name val="Arial"/>
      <family val="2"/>
    </font>
    <font>
      <b/>
      <sz val="10"/>
      <name val="Arial"/>
      <family val="2"/>
    </font>
    <font>
      <sz val="8"/>
      <name val="Arial"/>
      <family val="2"/>
    </font>
    <font>
      <i/>
      <sz val="10"/>
      <name val="Arial"/>
      <family val="2"/>
    </font>
    <font>
      <vertAlign val="subscript"/>
      <sz val="10"/>
      <name val="Arial"/>
      <family val="2"/>
    </font>
    <font>
      <sz val="10"/>
      <name val="Symbol"/>
      <family val="1"/>
      <charset val="2"/>
    </font>
    <font>
      <vertAlign val="superscript"/>
      <sz val="10"/>
      <name val="Arial"/>
      <family val="2"/>
    </font>
    <font>
      <sz val="10"/>
      <color indexed="10"/>
      <name val="Arial"/>
      <family val="2"/>
    </font>
    <font>
      <vertAlign val="subscript"/>
      <sz val="10"/>
      <color indexed="10"/>
      <name val="Arial"/>
      <family val="2"/>
    </font>
    <font>
      <b/>
      <sz val="12"/>
      <color indexed="30"/>
      <name val="Arial"/>
      <family val="2"/>
    </font>
    <font>
      <b/>
      <sz val="10"/>
      <name val="Symbol"/>
      <family val="1"/>
      <charset val="2"/>
    </font>
    <font>
      <b/>
      <vertAlign val="subscript"/>
      <sz val="10"/>
      <name val="Arial"/>
      <family val="2"/>
    </font>
    <font>
      <sz val="10"/>
      <name val="Arial"/>
      <family val="2"/>
    </font>
    <font>
      <b/>
      <sz val="12"/>
      <name val="Arial"/>
      <family val="2"/>
    </font>
    <font>
      <sz val="12"/>
      <name val="Arial"/>
      <family val="2"/>
    </font>
    <font>
      <b/>
      <sz val="12"/>
      <name val="Times New Roman"/>
      <family val="1"/>
    </font>
    <font>
      <sz val="10"/>
      <color rgb="FFFF0000"/>
      <name val="Arial"/>
      <family val="2"/>
    </font>
    <font>
      <b/>
      <sz val="10"/>
      <color rgb="FFFF0000"/>
      <name val="Arial"/>
      <family val="2"/>
    </font>
    <font>
      <b/>
      <sz val="8"/>
      <color indexed="81"/>
      <name val="Tahoma"/>
      <family val="2"/>
    </font>
    <font>
      <b/>
      <sz val="8"/>
      <color indexed="10"/>
      <name val="Tahoma"/>
      <family val="2"/>
    </font>
    <font>
      <sz val="9"/>
      <name val="Arial"/>
      <family val="2"/>
    </font>
    <font>
      <b/>
      <sz val="11"/>
      <name val="Arial"/>
      <family val="2"/>
    </font>
    <font>
      <i/>
      <sz val="10"/>
      <color rgb="FFFF0000"/>
      <name val="Arial"/>
      <family val="2"/>
    </font>
    <font>
      <b/>
      <sz val="10"/>
      <color rgb="FF006600"/>
      <name val="Arial"/>
      <family val="2"/>
    </font>
    <font>
      <b/>
      <sz val="10"/>
      <color rgb="FF006600"/>
      <name val="Symbol"/>
      <family val="1"/>
      <charset val="2"/>
    </font>
    <font>
      <b/>
      <vertAlign val="subscript"/>
      <sz val="10"/>
      <color rgb="FF006600"/>
      <name val="Arial"/>
      <family val="2"/>
    </font>
    <font>
      <b/>
      <sz val="12"/>
      <color rgb="FF006600"/>
      <name val="Arial"/>
      <family val="2"/>
    </font>
    <font>
      <sz val="10"/>
      <name val="Calibri"/>
      <family val="2"/>
    </font>
    <font>
      <sz val="10"/>
      <color theme="1"/>
      <name val="Arial"/>
      <family val="2"/>
    </font>
    <font>
      <b/>
      <sz val="6"/>
      <color indexed="81"/>
      <name val="Tahoma"/>
      <family val="2"/>
    </font>
    <font>
      <sz val="10"/>
      <color theme="0" tint="-0.34998626667073579"/>
      <name val="Arial"/>
      <family val="2"/>
    </font>
    <font>
      <b/>
      <vertAlign val="superscript"/>
      <sz val="10"/>
      <color rgb="FFFF0000"/>
      <name val="Arial"/>
      <family val="2"/>
    </font>
    <font>
      <b/>
      <sz val="14"/>
      <name val="Arial"/>
      <family val="2"/>
    </font>
    <font>
      <sz val="10"/>
      <color theme="5" tint="0.39997558519241921"/>
      <name val="Arial"/>
      <family val="2"/>
    </font>
    <font>
      <u/>
      <sz val="10"/>
      <name val="Arial"/>
      <family val="2"/>
    </font>
    <font>
      <b/>
      <sz val="14"/>
      <color theme="0"/>
      <name val="Arial"/>
      <family val="2"/>
    </font>
    <font>
      <b/>
      <sz val="10"/>
      <color rgb="FF003300"/>
      <name val="Arial"/>
      <family val="2"/>
    </font>
    <font>
      <sz val="10"/>
      <color rgb="FF003300"/>
      <name val="Arial"/>
      <family val="2"/>
    </font>
    <font>
      <b/>
      <vertAlign val="subscript"/>
      <sz val="10"/>
      <color rgb="FF003300"/>
      <name val="Arial"/>
      <family val="2"/>
    </font>
    <font>
      <b/>
      <sz val="10"/>
      <color rgb="FF003300"/>
      <name val="Symbol"/>
      <family val="1"/>
      <charset val="2"/>
    </font>
    <font>
      <b/>
      <vertAlign val="superscript"/>
      <sz val="10"/>
      <color rgb="FF003300"/>
      <name val="Arial"/>
      <family val="2"/>
    </font>
    <font>
      <b/>
      <sz val="10"/>
      <color rgb="FF592A03"/>
      <name val="Arial"/>
      <family val="2"/>
    </font>
    <font>
      <b/>
      <i/>
      <sz val="10"/>
      <color rgb="FF592A03"/>
      <name val="Arial"/>
      <family val="2"/>
    </font>
    <font>
      <b/>
      <sz val="10"/>
      <color theme="3" tint="-0.499984740745262"/>
      <name val="Arial"/>
      <family val="2"/>
    </font>
    <font>
      <b/>
      <sz val="10"/>
      <color theme="0" tint="-0.499984740745262"/>
      <name val="Arial"/>
      <family val="2"/>
    </font>
    <font>
      <sz val="10"/>
      <color theme="0" tint="-0.499984740745262"/>
      <name val="Arial"/>
      <family val="2"/>
    </font>
    <font>
      <b/>
      <vertAlign val="subscript"/>
      <sz val="10"/>
      <color theme="0" tint="-0.499984740745262"/>
      <name val="Arial"/>
      <family val="2"/>
    </font>
    <font>
      <vertAlign val="subscript"/>
      <sz val="10"/>
      <color theme="0" tint="-0.499984740745262"/>
      <name val="Arial"/>
      <family val="2"/>
    </font>
    <font>
      <vertAlign val="superscript"/>
      <sz val="10"/>
      <color theme="0" tint="-0.499984740745262"/>
      <name val="Arial"/>
      <family val="2"/>
    </font>
    <font>
      <sz val="10"/>
      <color theme="0" tint="-0.499984740745262"/>
      <name val="Symbol"/>
      <family val="1"/>
      <charset val="2"/>
    </font>
    <font>
      <u/>
      <sz val="10"/>
      <color theme="10"/>
      <name val="Arial"/>
      <family val="2"/>
    </font>
    <font>
      <sz val="12"/>
      <color rgb="FF008000"/>
      <name val="Arial Black"/>
      <family val="2"/>
    </font>
    <font>
      <b/>
      <vertAlign val="superscript"/>
      <sz val="10"/>
      <color theme="0" tint="-0.499984740745262"/>
      <name val="Arial"/>
      <family val="2"/>
    </font>
    <font>
      <b/>
      <sz val="5"/>
      <color indexed="81"/>
      <name val="Tahoma"/>
      <family val="2"/>
    </font>
    <font>
      <b/>
      <vertAlign val="subscript"/>
      <sz val="10"/>
      <color theme="0" tint="-0.499984740745262"/>
      <name val="Calibri"/>
      <family val="2"/>
    </font>
    <font>
      <b/>
      <sz val="10"/>
      <color theme="0"/>
      <name val="Arial"/>
      <family val="2"/>
    </font>
    <font>
      <b/>
      <sz val="12"/>
      <color rgb="FF003300"/>
      <name val="Arial"/>
      <family val="2"/>
    </font>
    <font>
      <sz val="10"/>
      <color rgb="FF009900"/>
      <name val="Wingdings"/>
      <charset val="2"/>
    </font>
    <font>
      <b/>
      <vertAlign val="subscript"/>
      <sz val="10"/>
      <color theme="0"/>
      <name val="Arial"/>
      <family val="2"/>
    </font>
    <font>
      <b/>
      <sz val="24"/>
      <color rgb="FF592A03"/>
      <name val="Arial"/>
      <family val="2"/>
    </font>
    <font>
      <b/>
      <sz val="18"/>
      <color rgb="FF003300"/>
      <name val="Arial"/>
      <family val="2"/>
    </font>
    <font>
      <sz val="18"/>
      <color rgb="FF003300"/>
      <name val="Arial"/>
      <family val="2"/>
    </font>
    <font>
      <sz val="12"/>
      <color rgb="FF003300"/>
      <name val="Arial"/>
      <family val="2"/>
    </font>
    <font>
      <b/>
      <sz val="12"/>
      <color rgb="FF002060"/>
      <name val="Times New Roman"/>
      <family val="1"/>
    </font>
    <font>
      <sz val="10"/>
      <color rgb="FF002060"/>
      <name val="Arial"/>
      <family val="2"/>
    </font>
    <font>
      <b/>
      <sz val="9"/>
      <color rgb="FF002060"/>
      <name val="Times New Roman"/>
      <family val="1"/>
    </font>
    <font>
      <b/>
      <sz val="20"/>
      <color theme="0"/>
      <name val="Arial"/>
      <family val="2"/>
    </font>
    <font>
      <sz val="10"/>
      <color theme="0"/>
      <name val="Arial"/>
      <family val="2"/>
    </font>
    <font>
      <b/>
      <u/>
      <sz val="10"/>
      <name val="Arial"/>
      <family val="2"/>
    </font>
    <font>
      <b/>
      <sz val="10"/>
      <color rgb="FF002060"/>
      <name val="Arial"/>
      <family val="2"/>
    </font>
    <font>
      <b/>
      <u/>
      <sz val="12"/>
      <color rgb="FF003300"/>
      <name val="Arial"/>
      <family val="2"/>
    </font>
    <font>
      <b/>
      <sz val="10"/>
      <color rgb="FF003300"/>
      <name val="Calibri"/>
      <family val="2"/>
    </font>
    <font>
      <b/>
      <sz val="10"/>
      <color theme="0" tint="-0.499984740745262"/>
      <name val="Calibri"/>
      <family val="2"/>
    </font>
    <font>
      <sz val="10"/>
      <color theme="8" tint="-0.249977111117893"/>
      <name val="Wingdings"/>
      <charset val="2"/>
    </font>
    <font>
      <sz val="10"/>
      <color rgb="FFFF0000"/>
      <name val="Calibri"/>
      <family val="2"/>
    </font>
    <font>
      <b/>
      <u/>
      <sz val="10"/>
      <color rgb="FFC00000"/>
      <name val="Arial"/>
      <family val="2"/>
    </font>
    <font>
      <sz val="10"/>
      <color theme="8" tint="-0.249977111117893"/>
      <name val="Arial"/>
      <family val="2"/>
    </font>
    <font>
      <sz val="10"/>
      <color theme="8" tint="-0.249977111117893"/>
      <name val="Calibri"/>
      <family val="2"/>
    </font>
    <font>
      <b/>
      <sz val="10"/>
      <color theme="0" tint="-0.499984740745262"/>
      <name val="Symbol"/>
      <family val="1"/>
      <charset val="2"/>
    </font>
    <font>
      <sz val="10"/>
      <color theme="0" tint="-0.249977111117893"/>
      <name val="Arial"/>
      <family val="2"/>
    </font>
    <font>
      <b/>
      <sz val="10"/>
      <name val="Calibri"/>
      <family val="2"/>
    </font>
    <font>
      <sz val="10"/>
      <color theme="0" tint="-0.499984740745262"/>
      <name val="Calibri"/>
      <family val="2"/>
    </font>
    <font>
      <b/>
      <sz val="7"/>
      <color indexed="81"/>
      <name val="Tahoma"/>
      <family val="2"/>
    </font>
    <font>
      <b/>
      <i/>
      <sz val="10"/>
      <color rgb="FF003300"/>
      <name val="Arial"/>
      <family val="2"/>
    </font>
    <font>
      <b/>
      <sz val="10"/>
      <color rgb="FFFF0000"/>
      <name val="Calibri"/>
      <family val="2"/>
    </font>
  </fonts>
  <fills count="19">
    <fill>
      <patternFill patternType="none"/>
    </fill>
    <fill>
      <patternFill patternType="gray125"/>
    </fill>
    <fill>
      <patternFill patternType="solid">
        <fgColor theme="6" tint="0.59999389629810485"/>
        <bgColor indexed="64"/>
      </patternFill>
    </fill>
    <fill>
      <patternFill patternType="solid">
        <fgColor rgb="FFFFFF99"/>
        <bgColor indexed="64"/>
      </patternFill>
    </fill>
    <fill>
      <patternFill patternType="solid">
        <fgColor theme="6"/>
        <bgColor indexed="64"/>
      </patternFill>
    </fill>
    <fill>
      <patternFill patternType="solid">
        <fgColor rgb="FFCC9900"/>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EBE33D"/>
        <bgColor indexed="64"/>
      </patternFill>
    </fill>
    <fill>
      <patternFill patternType="solid">
        <fgColor theme="6" tint="0.599963377788628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003300"/>
        <bgColor indexed="64"/>
      </patternFill>
    </fill>
    <fill>
      <patternFill patternType="solid">
        <fgColor rgb="FFDAEEF3"/>
        <bgColor indexed="64"/>
      </patternFill>
    </fill>
    <fill>
      <patternFill patternType="solid">
        <fgColor rgb="FF92D050"/>
        <bgColor indexed="64"/>
      </patternFill>
    </fill>
    <fill>
      <patternFill patternType="solid">
        <fgColor theme="3" tint="-0.499984740745262"/>
        <bgColor indexed="64"/>
      </patternFill>
    </fill>
    <fill>
      <patternFill patternType="solid">
        <fgColor theme="0"/>
        <bgColor indexed="64"/>
      </patternFill>
    </fill>
    <fill>
      <patternFill patternType="solid">
        <fgColor rgb="FFFFFFCC"/>
        <bgColor indexed="64"/>
      </patternFill>
    </fill>
  </fills>
  <borders count="211">
    <border>
      <left/>
      <right/>
      <top/>
      <bottom/>
      <diagonal/>
    </border>
    <border>
      <left/>
      <right/>
      <top style="medium">
        <color indexed="64"/>
      </top>
      <bottom/>
      <diagonal/>
    </border>
    <border>
      <left/>
      <right/>
      <top/>
      <bottom style="medium">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top style="thin">
        <color indexed="64"/>
      </top>
      <bottom/>
      <diagonal/>
    </border>
    <border>
      <left style="medium">
        <color theme="4" tint="-0.499984740745262"/>
      </left>
      <right/>
      <top style="medium">
        <color auto="1"/>
      </top>
      <bottom style="thin">
        <color auto="1"/>
      </bottom>
      <diagonal/>
    </border>
    <border>
      <left style="medium">
        <color theme="4" tint="-0.499984740745262"/>
      </left>
      <right/>
      <top style="thin">
        <color auto="1"/>
      </top>
      <bottom style="thin">
        <color auto="1"/>
      </bottom>
      <diagonal/>
    </border>
    <border>
      <left style="medium">
        <color theme="4" tint="-0.499984740745262"/>
      </left>
      <right/>
      <top style="thin">
        <color auto="1"/>
      </top>
      <bottom style="medium">
        <color auto="1"/>
      </bottom>
      <diagonal/>
    </border>
    <border>
      <left style="medium">
        <color indexed="64"/>
      </left>
      <right style="thin">
        <color indexed="64"/>
      </right>
      <top style="medium">
        <color indexed="64"/>
      </top>
      <bottom style="medium">
        <color theme="9" tint="-0.499984740745262"/>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theme="4" tint="-0.499984740745262"/>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rgb="FF592A03"/>
      </left>
      <right style="medium">
        <color rgb="FF592A03"/>
      </right>
      <top style="medium">
        <color rgb="FF592A03"/>
      </top>
      <bottom style="medium">
        <color rgb="FF592A03"/>
      </bottom>
      <diagonal/>
    </border>
    <border>
      <left style="medium">
        <color rgb="FF592A03"/>
      </left>
      <right style="thin">
        <color rgb="FF592A03"/>
      </right>
      <top style="medium">
        <color rgb="FF592A03"/>
      </top>
      <bottom style="thin">
        <color rgb="FF592A03"/>
      </bottom>
      <diagonal/>
    </border>
    <border>
      <left style="thin">
        <color rgb="FF592A03"/>
      </left>
      <right style="thin">
        <color rgb="FF592A03"/>
      </right>
      <top style="medium">
        <color rgb="FF592A03"/>
      </top>
      <bottom style="thin">
        <color rgb="FF592A03"/>
      </bottom>
      <diagonal/>
    </border>
    <border>
      <left style="thin">
        <color rgb="FF592A03"/>
      </left>
      <right style="medium">
        <color rgb="FF592A03"/>
      </right>
      <top style="medium">
        <color rgb="FF592A03"/>
      </top>
      <bottom style="thin">
        <color rgb="FF592A03"/>
      </bottom>
      <diagonal/>
    </border>
    <border>
      <left style="medium">
        <color rgb="FF592A03"/>
      </left>
      <right style="thin">
        <color rgb="FF592A03"/>
      </right>
      <top style="thin">
        <color rgb="FF592A03"/>
      </top>
      <bottom style="thin">
        <color rgb="FF592A03"/>
      </bottom>
      <diagonal/>
    </border>
    <border>
      <left style="thin">
        <color rgb="FF592A03"/>
      </left>
      <right style="thin">
        <color rgb="FF592A03"/>
      </right>
      <top style="thin">
        <color rgb="FF592A03"/>
      </top>
      <bottom style="thin">
        <color rgb="FF592A03"/>
      </bottom>
      <diagonal/>
    </border>
    <border>
      <left style="thin">
        <color rgb="FF592A03"/>
      </left>
      <right style="medium">
        <color rgb="FF592A03"/>
      </right>
      <top style="thin">
        <color rgb="FF592A03"/>
      </top>
      <bottom style="thin">
        <color rgb="FF592A03"/>
      </bottom>
      <diagonal/>
    </border>
    <border>
      <left style="medium">
        <color rgb="FF592A03"/>
      </left>
      <right style="thin">
        <color rgb="FF592A03"/>
      </right>
      <top style="thin">
        <color rgb="FF592A03"/>
      </top>
      <bottom style="medium">
        <color rgb="FF592A03"/>
      </bottom>
      <diagonal/>
    </border>
    <border>
      <left style="thin">
        <color rgb="FF592A03"/>
      </left>
      <right style="thin">
        <color rgb="FF592A03"/>
      </right>
      <top style="thin">
        <color rgb="FF592A03"/>
      </top>
      <bottom style="medium">
        <color rgb="FF592A03"/>
      </bottom>
      <diagonal/>
    </border>
    <border>
      <left style="thin">
        <color rgb="FF592A03"/>
      </left>
      <right style="medium">
        <color rgb="FF592A03"/>
      </right>
      <top style="thin">
        <color rgb="FF592A03"/>
      </top>
      <bottom style="medium">
        <color rgb="FF592A03"/>
      </bottom>
      <diagonal/>
    </border>
    <border>
      <left style="medium">
        <color rgb="FF592A03"/>
      </left>
      <right style="medium">
        <color rgb="FF592A03"/>
      </right>
      <top style="medium">
        <color rgb="FF592A03"/>
      </top>
      <bottom style="thin">
        <color rgb="FF592A03"/>
      </bottom>
      <diagonal/>
    </border>
    <border>
      <left style="medium">
        <color rgb="FF592A03"/>
      </left>
      <right style="medium">
        <color rgb="FF592A03"/>
      </right>
      <top style="thin">
        <color rgb="FF592A03"/>
      </top>
      <bottom style="thin">
        <color rgb="FF592A03"/>
      </bottom>
      <diagonal/>
    </border>
    <border>
      <left style="medium">
        <color rgb="FF592A03"/>
      </left>
      <right style="medium">
        <color rgb="FF592A03"/>
      </right>
      <top style="thin">
        <color rgb="FF592A03"/>
      </top>
      <bottom style="medium">
        <color rgb="FF592A03"/>
      </bottom>
      <diagonal/>
    </border>
    <border>
      <left style="medium">
        <color rgb="FF592A03"/>
      </left>
      <right style="thin">
        <color rgb="FF592A03"/>
      </right>
      <top style="medium">
        <color rgb="FF592A03"/>
      </top>
      <bottom style="medium">
        <color rgb="FF592A03"/>
      </bottom>
      <diagonal/>
    </border>
    <border>
      <left style="thin">
        <color rgb="FF592A03"/>
      </left>
      <right style="medium">
        <color rgb="FF592A03"/>
      </right>
      <top style="medium">
        <color rgb="FF592A03"/>
      </top>
      <bottom style="medium">
        <color rgb="FF592A03"/>
      </bottom>
      <diagonal/>
    </border>
    <border>
      <left style="thin">
        <color rgb="FF592A03"/>
      </left>
      <right style="thin">
        <color rgb="FF592A03"/>
      </right>
      <top style="medium">
        <color rgb="FF592A03"/>
      </top>
      <bottom style="medium">
        <color rgb="FF592A03"/>
      </bottom>
      <diagonal/>
    </border>
    <border>
      <left/>
      <right style="thin">
        <color rgb="FF592A03"/>
      </right>
      <top style="medium">
        <color rgb="FF592A03"/>
      </top>
      <bottom style="thin">
        <color rgb="FF592A03"/>
      </bottom>
      <diagonal/>
    </border>
    <border>
      <left/>
      <right style="thin">
        <color rgb="FF592A03"/>
      </right>
      <top style="thin">
        <color rgb="FF592A03"/>
      </top>
      <bottom style="thin">
        <color rgb="FF592A03"/>
      </bottom>
      <diagonal/>
    </border>
    <border>
      <left/>
      <right style="thin">
        <color rgb="FF592A03"/>
      </right>
      <top style="thin">
        <color rgb="FF592A03"/>
      </top>
      <bottom style="medium">
        <color rgb="FF592A03"/>
      </bottom>
      <diagonal/>
    </border>
    <border>
      <left style="medium">
        <color theme="3" tint="-0.499984740745262"/>
      </left>
      <right style="medium">
        <color theme="3" tint="-0.499984740745262"/>
      </right>
      <top style="medium">
        <color theme="3" tint="-0.499984740745262"/>
      </top>
      <bottom style="medium">
        <color theme="3" tint="-0.499984740745262"/>
      </bottom>
      <diagonal/>
    </border>
    <border>
      <left style="medium">
        <color theme="3" tint="-0.499984740745262"/>
      </left>
      <right style="medium">
        <color theme="3" tint="-0.499984740745262"/>
      </right>
      <top style="medium">
        <color theme="3" tint="-0.499984740745262"/>
      </top>
      <bottom style="thin">
        <color theme="3" tint="-0.499984740745262"/>
      </bottom>
      <diagonal/>
    </border>
    <border>
      <left style="medium">
        <color theme="3" tint="-0.499984740745262"/>
      </left>
      <right style="medium">
        <color theme="3" tint="-0.499984740745262"/>
      </right>
      <top style="thin">
        <color theme="3" tint="-0.499984740745262"/>
      </top>
      <bottom style="thin">
        <color theme="3" tint="-0.499984740745262"/>
      </bottom>
      <diagonal/>
    </border>
    <border>
      <left style="medium">
        <color theme="3" tint="-0.499984740745262"/>
      </left>
      <right style="medium">
        <color theme="3" tint="-0.499984740745262"/>
      </right>
      <top style="thin">
        <color theme="3" tint="-0.499984740745262"/>
      </top>
      <bottom style="medium">
        <color theme="3" tint="-0.499984740745262"/>
      </bottom>
      <diagonal/>
    </border>
    <border>
      <left style="medium">
        <color theme="3" tint="-0.499984740745262"/>
      </left>
      <right style="thin">
        <color theme="3" tint="-0.499984740745262"/>
      </right>
      <top style="medium">
        <color theme="3" tint="-0.499984740745262"/>
      </top>
      <bottom style="medium">
        <color theme="3" tint="-0.499984740745262"/>
      </bottom>
      <diagonal/>
    </border>
    <border>
      <left style="thin">
        <color theme="3" tint="-0.499984740745262"/>
      </left>
      <right style="thin">
        <color theme="3" tint="-0.499984740745262"/>
      </right>
      <top style="medium">
        <color theme="3" tint="-0.499984740745262"/>
      </top>
      <bottom style="medium">
        <color theme="3" tint="-0.499984740745262"/>
      </bottom>
      <diagonal/>
    </border>
    <border>
      <left style="thin">
        <color theme="3" tint="-0.499984740745262"/>
      </left>
      <right style="medium">
        <color theme="3" tint="-0.499984740745262"/>
      </right>
      <top style="medium">
        <color theme="3" tint="-0.499984740745262"/>
      </top>
      <bottom style="medium">
        <color theme="3" tint="-0.499984740745262"/>
      </bottom>
      <diagonal/>
    </border>
    <border>
      <left style="medium">
        <color indexed="64"/>
      </left>
      <right style="thin">
        <color indexed="64"/>
      </right>
      <top/>
      <bottom style="medium">
        <color rgb="FF592A03"/>
      </bottom>
      <diagonal/>
    </border>
    <border>
      <left style="thin">
        <color indexed="64"/>
      </left>
      <right style="medium">
        <color indexed="64"/>
      </right>
      <top style="thin">
        <color indexed="64"/>
      </top>
      <bottom style="medium">
        <color rgb="FF592A03"/>
      </bottom>
      <diagonal/>
    </border>
    <border>
      <left/>
      <right style="medium">
        <color rgb="FF592A03"/>
      </right>
      <top style="medium">
        <color rgb="FF592A03"/>
      </top>
      <bottom style="thin">
        <color rgb="FF592A03"/>
      </bottom>
      <diagonal/>
    </border>
    <border>
      <left style="medium">
        <color rgb="FF592A03"/>
      </left>
      <right style="thin">
        <color rgb="FF592A03"/>
      </right>
      <top/>
      <bottom style="thin">
        <color rgb="FF592A03"/>
      </bottom>
      <diagonal/>
    </border>
    <border>
      <left style="medium">
        <color rgb="FF592A03"/>
      </left>
      <right/>
      <top style="thin">
        <color rgb="FF592A03"/>
      </top>
      <bottom style="thin">
        <color rgb="FF592A03"/>
      </bottom>
      <diagonal/>
    </border>
    <border>
      <left style="thin">
        <color rgb="FF592A03"/>
      </left>
      <right style="medium">
        <color rgb="FF592A03"/>
      </right>
      <top style="thin">
        <color rgb="FF592A03"/>
      </top>
      <bottom/>
      <diagonal/>
    </border>
    <border>
      <left style="thin">
        <color rgb="FF592A03"/>
      </left>
      <right style="medium">
        <color rgb="FF592A03"/>
      </right>
      <top/>
      <bottom style="thin">
        <color rgb="FF592A03"/>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thin">
        <color theme="9" tint="-0.24994659260841701"/>
      </right>
      <top style="thin">
        <color theme="9" tint="-0.24994659260841701"/>
      </top>
      <bottom style="medium">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thin">
        <color theme="9" tint="-0.24994659260841701"/>
      </left>
      <right style="medium">
        <color theme="9" tint="-0.24994659260841701"/>
      </right>
      <top style="thin">
        <color theme="9" tint="-0.24994659260841701"/>
      </top>
      <bottom style="medium">
        <color theme="9" tint="-0.24994659260841701"/>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right style="thin">
        <color theme="9" tint="-0.24994659260841701"/>
      </right>
      <top style="medium">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right style="thin">
        <color theme="9" tint="-0.24994659260841701"/>
      </right>
      <top style="thin">
        <color theme="9" tint="-0.24994659260841701"/>
      </top>
      <bottom style="medium">
        <color theme="9" tint="-0.24994659260841701"/>
      </bottom>
      <diagonal/>
    </border>
    <border>
      <left style="medium">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thin">
        <color theme="9" tint="-0.24994659260841701"/>
      </top>
      <bottom style="medium">
        <color theme="9" tint="-0.24994659260841701"/>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bottom style="thin">
        <color theme="0" tint="-0.499984740745262"/>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thin">
        <color theme="0" tint="-0.499984740745262"/>
      </right>
      <top style="medium">
        <color theme="0" tint="-0.499984740745262"/>
      </top>
      <bottom/>
      <diagonal/>
    </border>
    <border>
      <left/>
      <right style="thin">
        <color theme="0" tint="-0.499984740745262"/>
      </right>
      <top/>
      <bottom/>
      <diagonal/>
    </border>
    <border>
      <left/>
      <right style="thin">
        <color theme="0" tint="-0.499984740745262"/>
      </right>
      <top/>
      <bottom style="medium">
        <color theme="0" tint="-0.499984740745262"/>
      </bottom>
      <diagonal/>
    </border>
    <border>
      <left style="thin">
        <color theme="0" tint="-0.499984740745262"/>
      </left>
      <right/>
      <top/>
      <bottom/>
      <diagonal/>
    </border>
    <border>
      <left style="medium">
        <color rgb="FF592A03"/>
      </left>
      <right style="thin">
        <color auto="1"/>
      </right>
      <top style="medium">
        <color auto="1"/>
      </top>
      <bottom style="medium">
        <color auto="1"/>
      </bottom>
      <diagonal/>
    </border>
    <border>
      <left style="medium">
        <color indexed="64"/>
      </left>
      <right style="medium">
        <color theme="3" tint="-0.499984740745262"/>
      </right>
      <top style="medium">
        <color auto="1"/>
      </top>
      <bottom style="medium">
        <color auto="1"/>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style="medium">
        <color theme="3" tint="-0.499984740745262"/>
      </left>
      <right/>
      <top style="medium">
        <color theme="3" tint="-0.499984740745262"/>
      </top>
      <bottom style="medium">
        <color theme="3" tint="-0.499984740745262"/>
      </bottom>
      <diagonal/>
    </border>
    <border>
      <left/>
      <right/>
      <top style="medium">
        <color theme="3" tint="-0.499984740745262"/>
      </top>
      <bottom style="medium">
        <color theme="3" tint="-0.499984740745262"/>
      </bottom>
      <diagonal/>
    </border>
    <border>
      <left/>
      <right style="thin">
        <color theme="3" tint="-0.499984740745262"/>
      </right>
      <top style="medium">
        <color theme="3" tint="-0.499984740745262"/>
      </top>
      <bottom style="medium">
        <color theme="3" tint="-0.499984740745262"/>
      </bottom>
      <diagonal/>
    </border>
    <border>
      <left style="medium">
        <color indexed="64"/>
      </left>
      <right/>
      <top style="medium">
        <color indexed="64"/>
      </top>
      <bottom style="medium">
        <color theme="3" tint="-0.499984740745262"/>
      </bottom>
      <diagonal/>
    </border>
    <border>
      <left/>
      <right/>
      <top style="medium">
        <color indexed="64"/>
      </top>
      <bottom style="medium">
        <color theme="3" tint="-0.499984740745262"/>
      </bottom>
      <diagonal/>
    </border>
    <border>
      <left/>
      <right style="thin">
        <color indexed="64"/>
      </right>
      <top style="medium">
        <color indexed="64"/>
      </top>
      <bottom style="medium">
        <color theme="3" tint="-0.499984740745262"/>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style="medium">
        <color theme="3" tint="-0.499984740745262"/>
      </right>
      <top style="medium">
        <color theme="3" tint="-0.499984740745262"/>
      </top>
      <bottom style="thin">
        <color theme="3" tint="-0.499984740745262"/>
      </bottom>
      <diagonal/>
    </border>
    <border>
      <left/>
      <right style="medium">
        <color theme="3" tint="-0.499984740745262"/>
      </right>
      <top style="thin">
        <color theme="3" tint="-0.499984740745262"/>
      </top>
      <bottom style="thin">
        <color theme="3" tint="-0.499984740745262"/>
      </bottom>
      <diagonal/>
    </border>
    <border>
      <left/>
      <right style="medium">
        <color theme="3" tint="-0.499984740745262"/>
      </right>
      <top style="thin">
        <color theme="3" tint="-0.499984740745262"/>
      </top>
      <bottom style="medium">
        <color theme="3" tint="-0.499984740745262"/>
      </bottom>
      <diagonal/>
    </border>
    <border>
      <left style="thin">
        <color indexed="64"/>
      </left>
      <right style="medium">
        <color rgb="FF002060"/>
      </right>
      <top style="medium">
        <color indexed="64"/>
      </top>
      <bottom style="thin">
        <color indexed="64"/>
      </bottom>
      <diagonal/>
    </border>
    <border>
      <left style="thin">
        <color indexed="64"/>
      </left>
      <right style="medium">
        <color rgb="FF002060"/>
      </right>
      <top style="thin">
        <color indexed="64"/>
      </top>
      <bottom style="thin">
        <color indexed="64"/>
      </bottom>
      <diagonal/>
    </border>
    <border>
      <left style="thin">
        <color indexed="64"/>
      </left>
      <right style="medium">
        <color rgb="FF002060"/>
      </right>
      <top style="thin">
        <color indexed="64"/>
      </top>
      <bottom style="medium">
        <color indexed="64"/>
      </bottom>
      <diagonal/>
    </border>
    <border>
      <left/>
      <right style="thin">
        <color indexed="64"/>
      </right>
      <top style="thin">
        <color indexed="64"/>
      </top>
      <bottom style="medium">
        <color theme="4" tint="-0.499984740745262"/>
      </bottom>
      <diagonal/>
    </border>
    <border>
      <left style="thin">
        <color indexed="64"/>
      </left>
      <right style="thin">
        <color indexed="64"/>
      </right>
      <top style="double">
        <color indexed="64"/>
      </top>
      <bottom style="medium">
        <color indexed="64"/>
      </bottom>
      <diagonal/>
    </border>
    <border>
      <left/>
      <right style="medium">
        <color rgb="FF592A03"/>
      </right>
      <top/>
      <bottom/>
      <diagonal/>
    </border>
    <border>
      <left style="medium">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theme="3" tint="-0.499984740745262"/>
      </left>
      <right style="thin">
        <color theme="3" tint="-0.499984740745262"/>
      </right>
      <top style="thin">
        <color theme="3" tint="-0.499984740745262"/>
      </top>
      <bottom style="medium">
        <color theme="3" tint="-0.499984740745262"/>
      </bottom>
      <diagonal/>
    </border>
    <border>
      <left style="medium">
        <color theme="3" tint="-0.499984740745262"/>
      </left>
      <right style="thin">
        <color theme="3" tint="-0.499984740745262"/>
      </right>
      <top style="medium">
        <color theme="3" tint="-0.499984740745262"/>
      </top>
      <bottom style="thin">
        <color theme="3" tint="-0.499984740745262"/>
      </bottom>
      <diagonal/>
    </border>
    <border>
      <left style="medium">
        <color theme="9" tint="-0.24994659260841701"/>
      </left>
      <right style="medium">
        <color theme="9" tint="-0.24994659260841701"/>
      </right>
      <top/>
      <bottom style="thin">
        <color theme="9" tint="-0.24994659260841701"/>
      </bottom>
      <diagonal/>
    </border>
    <border>
      <left style="medium">
        <color theme="3" tint="-0.499984740745262"/>
      </left>
      <right style="thin">
        <color theme="3" tint="-0.499984740745262"/>
      </right>
      <top style="thin">
        <color theme="3" tint="-0.499984740745262"/>
      </top>
      <bottom style="thin">
        <color theme="3" tint="-0.499984740745262"/>
      </bottom>
      <diagonal/>
    </border>
    <border>
      <left style="medium">
        <color rgb="FF003300"/>
      </left>
      <right style="medium">
        <color indexed="64"/>
      </right>
      <top style="medium">
        <color indexed="64"/>
      </top>
      <bottom style="thin">
        <color rgb="FF003300"/>
      </bottom>
      <diagonal/>
    </border>
    <border>
      <left style="medium">
        <color rgb="FF003300"/>
      </left>
      <right style="medium">
        <color indexed="64"/>
      </right>
      <top style="thin">
        <color rgb="FF003300"/>
      </top>
      <bottom style="thin">
        <color rgb="FF003300"/>
      </bottom>
      <diagonal/>
    </border>
    <border>
      <left style="medium">
        <color rgb="FF003300"/>
      </left>
      <right style="medium">
        <color indexed="64"/>
      </right>
      <top style="thin">
        <color rgb="FF003300"/>
      </top>
      <bottom style="medium">
        <color rgb="FF003300"/>
      </bottom>
      <diagonal/>
    </border>
    <border>
      <left/>
      <right style="medium">
        <color indexed="64"/>
      </right>
      <top style="medium">
        <color indexed="64"/>
      </top>
      <bottom style="thin">
        <color rgb="FF003300"/>
      </bottom>
      <diagonal/>
    </border>
    <border>
      <left/>
      <right style="medium">
        <color indexed="64"/>
      </right>
      <top style="thin">
        <color rgb="FF003300"/>
      </top>
      <bottom style="thin">
        <color rgb="FF003300"/>
      </bottom>
      <diagonal/>
    </border>
    <border>
      <left/>
      <right style="medium">
        <color indexed="64"/>
      </right>
      <top style="thin">
        <color rgb="FF003300"/>
      </top>
      <bottom style="medium">
        <color rgb="FF003300"/>
      </bottom>
      <diagonal/>
    </border>
    <border>
      <left style="thin">
        <color theme="3" tint="-0.499984740745262"/>
      </left>
      <right style="medium">
        <color theme="3" tint="-0.499984740745262"/>
      </right>
      <top style="medium">
        <color theme="3" tint="-0.499984740745262"/>
      </top>
      <bottom style="thin">
        <color theme="3" tint="-0.499984740745262"/>
      </bottom>
      <diagonal/>
    </border>
    <border>
      <left style="thin">
        <color theme="3" tint="-0.499984740745262"/>
      </left>
      <right style="medium">
        <color theme="3" tint="-0.499984740745262"/>
      </right>
      <top style="thin">
        <color theme="3" tint="-0.499984740745262"/>
      </top>
      <bottom style="thin">
        <color theme="3" tint="-0.499984740745262"/>
      </bottom>
      <diagonal/>
    </border>
    <border>
      <left style="thin">
        <color theme="3" tint="-0.499984740745262"/>
      </left>
      <right style="medium">
        <color theme="3" tint="-0.499984740745262"/>
      </right>
      <top style="thin">
        <color theme="3" tint="-0.499984740745262"/>
      </top>
      <bottom style="medium">
        <color theme="3" tint="-0.499984740745262"/>
      </bottom>
      <diagonal/>
    </border>
    <border>
      <left style="medium">
        <color theme="3" tint="-0.499984740745262"/>
      </left>
      <right style="thin">
        <color rgb="FF592A03"/>
      </right>
      <top style="medium">
        <color rgb="FF592A03"/>
      </top>
      <bottom style="thin">
        <color rgb="FF592A03"/>
      </bottom>
      <diagonal/>
    </border>
    <border>
      <left style="medium">
        <color theme="3" tint="-0.499984740745262"/>
      </left>
      <right style="thin">
        <color rgb="FF592A03"/>
      </right>
      <top style="thin">
        <color rgb="FF592A03"/>
      </top>
      <bottom style="thin">
        <color rgb="FF592A03"/>
      </bottom>
      <diagonal/>
    </border>
    <border>
      <left style="medium">
        <color theme="3" tint="-0.499984740745262"/>
      </left>
      <right style="thin">
        <color rgb="FF592A03"/>
      </right>
      <top style="thin">
        <color rgb="FF592A03"/>
      </top>
      <bottom style="medium">
        <color rgb="FF592A03"/>
      </bottom>
      <diagonal/>
    </border>
    <border>
      <left style="medium">
        <color theme="0" tint="-0.499984740745262"/>
      </left>
      <right style="medium">
        <color theme="0" tint="-0.499984740745262"/>
      </right>
      <top/>
      <bottom style="double">
        <color theme="0" tint="-0.499984740745262"/>
      </bottom>
      <diagonal/>
    </border>
    <border>
      <left style="medium">
        <color rgb="FF592A03"/>
      </left>
      <right style="medium">
        <color theme="3" tint="-0.499984740745262"/>
      </right>
      <top style="medium">
        <color rgb="FF592A03"/>
      </top>
      <bottom style="thin">
        <color rgb="FF592A03"/>
      </bottom>
      <diagonal/>
    </border>
    <border>
      <left style="medium">
        <color rgb="FF592A03"/>
      </left>
      <right style="medium">
        <color theme="3" tint="-0.499984740745262"/>
      </right>
      <top style="thin">
        <color rgb="FF592A03"/>
      </top>
      <bottom style="thin">
        <color rgb="FF592A03"/>
      </bottom>
      <diagonal/>
    </border>
    <border>
      <left style="medium">
        <color rgb="FF592A03"/>
      </left>
      <right style="medium">
        <color theme="3" tint="-0.499984740745262"/>
      </right>
      <top style="thin">
        <color rgb="FF592A03"/>
      </top>
      <bottom style="medium">
        <color rgb="FF592A03"/>
      </bottom>
      <diagonal/>
    </border>
    <border>
      <left style="medium">
        <color indexed="64"/>
      </left>
      <right/>
      <top/>
      <bottom/>
      <diagonal/>
    </border>
    <border>
      <left style="thin">
        <color indexed="64"/>
      </left>
      <right/>
      <top/>
      <bottom style="medium">
        <color indexed="64"/>
      </bottom>
      <diagonal/>
    </border>
    <border>
      <left style="medium">
        <color theme="0" tint="-0.499984740745262"/>
      </left>
      <right/>
      <top/>
      <bottom style="double">
        <color theme="0" tint="-0.499984740745262"/>
      </bottom>
      <diagonal/>
    </border>
    <border>
      <left/>
      <right style="medium">
        <color theme="0" tint="-0.499984740745262"/>
      </right>
      <top/>
      <bottom style="double">
        <color theme="0" tint="-0.499984740745262"/>
      </bottom>
      <diagonal/>
    </border>
    <border>
      <left style="medium">
        <color theme="3" tint="-0.499984740745262"/>
      </left>
      <right/>
      <top style="medium">
        <color theme="3" tint="-0.499984740745262"/>
      </top>
      <bottom style="thin">
        <color theme="3" tint="-0.499984740745262"/>
      </bottom>
      <diagonal/>
    </border>
    <border>
      <left style="medium">
        <color theme="3" tint="-0.499984740745262"/>
      </left>
      <right/>
      <top style="thin">
        <color theme="3" tint="-0.499984740745262"/>
      </top>
      <bottom style="medium">
        <color theme="3" tint="-0.499984740745262"/>
      </bottom>
      <diagonal/>
    </border>
    <border>
      <left style="medium">
        <color indexed="64"/>
      </left>
      <right style="thin">
        <color indexed="64"/>
      </right>
      <top style="medium">
        <color indexed="64"/>
      </top>
      <bottom style="medium">
        <color theme="3" tint="-0.499984740745262"/>
      </bottom>
      <diagonal/>
    </border>
    <border>
      <left style="medium">
        <color theme="0" tint="-0.499984740745262"/>
      </left>
      <right style="medium">
        <color theme="0" tint="-0.499984740745262"/>
      </right>
      <top/>
      <bottom style="mediumDashed">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Dashed">
        <color theme="0" tint="-0.499984740745262"/>
      </bottom>
      <diagonal/>
    </border>
    <border>
      <left/>
      <right style="medium">
        <color auto="1"/>
      </right>
      <top style="medium">
        <color theme="0" tint="-0.499984740745262"/>
      </top>
      <bottom style="medium">
        <color theme="0" tint="-0.499984740745262"/>
      </bottom>
      <diagonal/>
    </border>
    <border>
      <left style="medium">
        <color theme="0" tint="-0.499984740745262"/>
      </left>
      <right/>
      <top style="double">
        <color theme="0" tint="-0.499984740745262"/>
      </top>
      <bottom style="medium">
        <color theme="0" tint="-0.499984740745262"/>
      </bottom>
      <diagonal/>
    </border>
    <border>
      <left/>
      <right style="medium">
        <color theme="0" tint="-0.499984740745262"/>
      </right>
      <top style="double">
        <color theme="0" tint="-0.499984740745262"/>
      </top>
      <bottom style="medium">
        <color theme="0" tint="-0.499984740745262"/>
      </bottom>
      <diagonal/>
    </border>
  </borders>
  <cellStyleXfs count="8">
    <xf numFmtId="0" fontId="0" fillId="0" borderId="0"/>
    <xf numFmtId="43" fontId="14" fillId="0" borderId="0" applyFont="0" applyFill="0" applyBorder="0" applyAlignment="0" applyProtection="0"/>
    <xf numFmtId="0" fontId="2" fillId="0" borderId="0"/>
    <xf numFmtId="166" fontId="2" fillId="0" borderId="0" applyFont="0" applyFill="0" applyBorder="0" applyAlignment="0" applyProtection="0"/>
    <xf numFmtId="0" fontId="38" fillId="10" borderId="69">
      <alignment horizontal="center" vertical="center"/>
    </xf>
    <xf numFmtId="4" fontId="43" fillId="3" borderId="84">
      <alignment horizontal="center"/>
    </xf>
    <xf numFmtId="0" fontId="45" fillId="14" borderId="103">
      <alignment horizontal="center" vertical="center"/>
    </xf>
    <xf numFmtId="0" fontId="52" fillId="0" borderId="0" applyNumberFormat="0" applyFill="0" applyBorder="0" applyAlignment="0" applyProtection="0"/>
  </cellStyleXfs>
  <cellXfs count="1090">
    <xf numFmtId="0" fontId="0" fillId="0" borderId="0" xfId="0"/>
    <xf numFmtId="0" fontId="2" fillId="0" borderId="0" xfId="0" applyFont="1" applyAlignment="1">
      <alignment horizontal="left"/>
    </xf>
    <xf numFmtId="0" fontId="9" fillId="0" borderId="0" xfId="0" applyFont="1"/>
    <xf numFmtId="0" fontId="2" fillId="0" borderId="8" xfId="0" applyFont="1" applyBorder="1" applyAlignment="1">
      <alignment horizontal="center"/>
    </xf>
    <xf numFmtId="0" fontId="2" fillId="0" borderId="11" xfId="0" applyFont="1" applyBorder="1" applyAlignment="1">
      <alignment horizontal="center"/>
    </xf>
    <xf numFmtId="0" fontId="9" fillId="0" borderId="0" xfId="0" applyFont="1" applyFill="1"/>
    <xf numFmtId="2" fontId="9" fillId="0" borderId="0" xfId="0" applyNumberFormat="1" applyFont="1"/>
    <xf numFmtId="0" fontId="2" fillId="0" borderId="0" xfId="0" applyFont="1" applyFill="1"/>
    <xf numFmtId="0" fontId="5" fillId="0" borderId="0" xfId="0" applyFont="1" applyFill="1" applyBorder="1" applyAlignment="1">
      <alignment horizontal="left"/>
    </xf>
    <xf numFmtId="0" fontId="2" fillId="0" borderId="0" xfId="0" applyFont="1" applyFill="1" applyBorder="1" applyAlignment="1">
      <alignment horizontal="left"/>
    </xf>
    <xf numFmtId="0" fontId="3" fillId="0" borderId="0" xfId="0" applyFont="1" applyAlignment="1">
      <alignment horizontal="left"/>
    </xf>
    <xf numFmtId="0" fontId="16" fillId="0" borderId="0" xfId="0" applyFont="1" applyAlignment="1">
      <alignment horizontal="left"/>
    </xf>
    <xf numFmtId="0" fontId="2" fillId="0" borderId="29" xfId="0" applyFont="1" applyBorder="1" applyAlignment="1">
      <alignment horizontal="center"/>
    </xf>
    <xf numFmtId="0" fontId="2" fillId="0" borderId="30" xfId="0" applyFont="1" applyBorder="1" applyAlignment="1">
      <alignment horizontal="center"/>
    </xf>
    <xf numFmtId="0" fontId="2" fillId="0" borderId="33" xfId="0" applyFont="1" applyBorder="1" applyAlignment="1">
      <alignment horizontal="center"/>
    </xf>
    <xf numFmtId="0" fontId="2" fillId="0" borderId="0" xfId="0" applyFont="1" applyAlignment="1"/>
    <xf numFmtId="0" fontId="9" fillId="0" borderId="0" xfId="0" applyFont="1" applyAlignment="1">
      <alignment horizontal="center"/>
    </xf>
    <xf numFmtId="0" fontId="7" fillId="0" borderId="0" xfId="0" applyFont="1" applyFill="1" applyBorder="1" applyAlignment="1">
      <alignment horizontal="left"/>
    </xf>
    <xf numFmtId="0" fontId="9" fillId="0" borderId="0" xfId="0" applyFont="1" applyAlignment="1"/>
    <xf numFmtId="0" fontId="18" fillId="0" borderId="0" xfId="0" applyFont="1"/>
    <xf numFmtId="0" fontId="18" fillId="0" borderId="0" xfId="0" applyFont="1" applyAlignment="1">
      <alignment horizontal="left"/>
    </xf>
    <xf numFmtId="0" fontId="18" fillId="0" borderId="0" xfId="0" applyFont="1" applyFill="1" applyBorder="1" applyAlignment="1">
      <alignment horizontal="left"/>
    </xf>
    <xf numFmtId="0" fontId="0" fillId="0" borderId="0" xfId="0" applyBorder="1"/>
    <xf numFmtId="0" fontId="0" fillId="0" borderId="0" xfId="0" applyFill="1"/>
    <xf numFmtId="0" fontId="0" fillId="0" borderId="0" xfId="0" applyAlignment="1">
      <alignment horizontal="center"/>
    </xf>
    <xf numFmtId="0" fontId="0" fillId="0" borderId="0" xfId="0" applyAlignment="1">
      <alignment horizontal="left"/>
    </xf>
    <xf numFmtId="2" fontId="0" fillId="0" borderId="0" xfId="0" applyNumberFormat="1" applyAlignment="1">
      <alignment horizontal="center"/>
    </xf>
    <xf numFmtId="0" fontId="5" fillId="0" borderId="0" xfId="0" applyFont="1"/>
    <xf numFmtId="0" fontId="18" fillId="0" borderId="0" xfId="0" applyFont="1" applyFill="1" applyAlignment="1">
      <alignment horizontal="left"/>
    </xf>
    <xf numFmtId="49" fontId="2" fillId="0" borderId="14" xfId="0" applyNumberFormat="1" applyFont="1" applyBorder="1" applyAlignment="1">
      <alignment horizontal="center"/>
    </xf>
    <xf numFmtId="49" fontId="2" fillId="0" borderId="15" xfId="0" applyNumberFormat="1" applyFont="1" applyBorder="1" applyAlignment="1">
      <alignment horizontal="center"/>
    </xf>
    <xf numFmtId="1" fontId="2" fillId="0" borderId="8" xfId="0" applyNumberFormat="1" applyFont="1" applyBorder="1" applyAlignment="1">
      <alignment horizontal="center"/>
    </xf>
    <xf numFmtId="0" fontId="2" fillId="0" borderId="48" xfId="0" applyFont="1" applyBorder="1" applyAlignment="1">
      <alignment horizontal="center"/>
    </xf>
    <xf numFmtId="1" fontId="2" fillId="0" borderId="48" xfId="0" applyNumberFormat="1" applyFont="1" applyBorder="1" applyAlignment="1">
      <alignment horizontal="center"/>
    </xf>
    <xf numFmtId="1" fontId="2" fillId="0" borderId="9" xfId="0" applyNumberFormat="1" applyFont="1" applyBorder="1" applyAlignment="1">
      <alignment horizontal="center"/>
    </xf>
    <xf numFmtId="1" fontId="2" fillId="0" borderId="12" xfId="0" applyNumberFormat="1" applyFont="1" applyBorder="1" applyAlignment="1">
      <alignment horizontal="center"/>
    </xf>
    <xf numFmtId="1" fontId="2" fillId="0" borderId="9" xfId="0" applyNumberFormat="1" applyFont="1" applyFill="1" applyBorder="1" applyAlignment="1">
      <alignment horizontal="center"/>
    </xf>
    <xf numFmtId="1" fontId="2" fillId="0" borderId="12" xfId="0" applyNumberFormat="1" applyFont="1" applyFill="1" applyBorder="1" applyAlignment="1">
      <alignment horizontal="center"/>
    </xf>
    <xf numFmtId="0" fontId="18" fillId="0" borderId="0" xfId="0" applyFont="1" applyBorder="1" applyAlignment="1">
      <alignment horizontal="center"/>
    </xf>
    <xf numFmtId="2" fontId="18" fillId="0" borderId="0" xfId="0" applyNumberFormat="1" applyFont="1" applyBorder="1" applyAlignment="1">
      <alignment horizontal="center"/>
    </xf>
    <xf numFmtId="0" fontId="2" fillId="0" borderId="36" xfId="0" applyFont="1" applyFill="1" applyBorder="1" applyAlignment="1">
      <alignment horizontal="center"/>
    </xf>
    <xf numFmtId="0" fontId="2" fillId="0" borderId="7" xfId="0" applyFont="1" applyFill="1" applyBorder="1" applyAlignment="1">
      <alignment horizontal="center"/>
    </xf>
    <xf numFmtId="0" fontId="2" fillId="0" borderId="10" xfId="0" applyFont="1" applyFill="1" applyBorder="1" applyAlignment="1">
      <alignment horizontal="center"/>
    </xf>
    <xf numFmtId="164" fontId="2" fillId="0" borderId="8" xfId="0" applyNumberFormat="1" applyFont="1" applyBorder="1" applyAlignment="1">
      <alignment horizontal="center"/>
    </xf>
    <xf numFmtId="164" fontId="2" fillId="0" borderId="5" xfId="0" applyNumberFormat="1" applyFont="1" applyBorder="1" applyAlignment="1">
      <alignment horizontal="center"/>
    </xf>
    <xf numFmtId="164" fontId="2" fillId="0" borderId="6" xfId="0" applyNumberFormat="1" applyFont="1" applyBorder="1" applyAlignment="1">
      <alignment horizontal="center"/>
    </xf>
    <xf numFmtId="164" fontId="2" fillId="0" borderId="9" xfId="0" applyNumberFormat="1" applyFont="1" applyBorder="1" applyAlignment="1">
      <alignment horizontal="center"/>
    </xf>
    <xf numFmtId="164" fontId="2" fillId="0" borderId="11" xfId="0" applyNumberFormat="1" applyFont="1" applyBorder="1" applyAlignment="1">
      <alignment horizontal="center"/>
    </xf>
    <xf numFmtId="164" fontId="2" fillId="0" borderId="12" xfId="0" applyNumberFormat="1" applyFont="1" applyBorder="1" applyAlignment="1">
      <alignment horizontal="center"/>
    </xf>
    <xf numFmtId="0" fontId="0" fillId="0" borderId="0" xfId="0" applyAlignment="1"/>
    <xf numFmtId="0" fontId="18" fillId="0" borderId="0" xfId="0" applyFont="1" applyAlignment="1"/>
    <xf numFmtId="2" fontId="2" fillId="0" borderId="34" xfId="0" applyNumberFormat="1" applyFont="1" applyFill="1" applyBorder="1" applyAlignment="1">
      <alignment horizontal="center"/>
    </xf>
    <xf numFmtId="2" fontId="2" fillId="0" borderId="9" xfId="0" applyNumberFormat="1" applyFont="1" applyFill="1" applyBorder="1" applyAlignment="1">
      <alignment horizontal="center"/>
    </xf>
    <xf numFmtId="2" fontId="2" fillId="0" borderId="46" xfId="0" applyNumberFormat="1" applyFont="1" applyFill="1" applyBorder="1" applyAlignment="1">
      <alignment horizontal="center"/>
    </xf>
    <xf numFmtId="2" fontId="2" fillId="0" borderId="44" xfId="0" applyNumberFormat="1" applyFont="1" applyFill="1" applyBorder="1" applyAlignment="1">
      <alignment horizontal="center"/>
    </xf>
    <xf numFmtId="2" fontId="2" fillId="0" borderId="43" xfId="0" applyNumberFormat="1" applyFont="1" applyFill="1" applyBorder="1" applyAlignment="1">
      <alignment horizontal="center"/>
    </xf>
    <xf numFmtId="2" fontId="2" fillId="0" borderId="36" xfId="0" applyNumberFormat="1" applyFont="1" applyFill="1" applyBorder="1" applyAlignment="1">
      <alignment horizontal="center"/>
    </xf>
    <xf numFmtId="2" fontId="2" fillId="0" borderId="7" xfId="0" applyNumberFormat="1" applyFont="1" applyFill="1" applyBorder="1" applyAlignment="1">
      <alignment horizontal="center"/>
    </xf>
    <xf numFmtId="2" fontId="2" fillId="0" borderId="10" xfId="0" applyNumberFormat="1" applyFont="1" applyFill="1" applyBorder="1" applyAlignment="1">
      <alignment horizontal="center"/>
    </xf>
    <xf numFmtId="0" fontId="2" fillId="0" borderId="7" xfId="0" applyFont="1" applyBorder="1" applyAlignment="1">
      <alignment horizontal="center"/>
    </xf>
    <xf numFmtId="0" fontId="2" fillId="0" borderId="10" xfId="0" applyFont="1" applyBorder="1" applyAlignment="1">
      <alignment horizontal="center"/>
    </xf>
    <xf numFmtId="0" fontId="5" fillId="0" borderId="8" xfId="0" applyFont="1" applyBorder="1"/>
    <xf numFmtId="0" fontId="0" fillId="0" borderId="8" xfId="0" applyBorder="1" applyAlignment="1">
      <alignment horizontal="center"/>
    </xf>
    <xf numFmtId="2" fontId="0" fillId="0" borderId="8" xfId="0" applyNumberFormat="1" applyBorder="1" applyAlignment="1">
      <alignment horizontal="center"/>
    </xf>
    <xf numFmtId="164" fontId="0" fillId="0" borderId="8" xfId="0" applyNumberFormat="1" applyBorder="1" applyAlignment="1">
      <alignment horizontal="center"/>
    </xf>
    <xf numFmtId="0" fontId="5" fillId="0" borderId="8" xfId="0" applyFont="1" applyBorder="1" applyAlignment="1">
      <alignment horizontal="left"/>
    </xf>
    <xf numFmtId="0" fontId="5" fillId="0" borderId="48" xfId="0" applyFont="1" applyBorder="1"/>
    <xf numFmtId="2" fontId="0" fillId="0" borderId="48" xfId="0" applyNumberFormat="1" applyBorder="1" applyAlignment="1">
      <alignment horizontal="center"/>
    </xf>
    <xf numFmtId="164" fontId="0" fillId="0" borderId="48" xfId="0" applyNumberFormat="1" applyBorder="1" applyAlignment="1">
      <alignment horizontal="center"/>
    </xf>
    <xf numFmtId="0" fontId="2" fillId="0" borderId="14" xfId="0" applyFont="1" applyBorder="1"/>
    <xf numFmtId="164" fontId="0" fillId="0" borderId="9" xfId="0" applyNumberFormat="1" applyBorder="1" applyAlignment="1">
      <alignment horizontal="center"/>
    </xf>
    <xf numFmtId="0" fontId="2" fillId="0" borderId="47" xfId="0" applyFont="1" applyBorder="1"/>
    <xf numFmtId="164" fontId="0" fillId="0" borderId="49" xfId="0" applyNumberFormat="1" applyBorder="1" applyAlignment="1">
      <alignment horizontal="center"/>
    </xf>
    <xf numFmtId="0" fontId="2" fillId="0" borderId="32" xfId="0" applyFont="1" applyBorder="1"/>
    <xf numFmtId="0" fontId="5" fillId="0" borderId="24" xfId="0" applyFont="1" applyBorder="1" applyAlignment="1">
      <alignment horizontal="left"/>
    </xf>
    <xf numFmtId="0" fontId="0" fillId="0" borderId="24" xfId="0" applyBorder="1" applyAlignment="1">
      <alignment horizontal="center"/>
    </xf>
    <xf numFmtId="2" fontId="0" fillId="0" borderId="24" xfId="0" applyNumberFormat="1" applyBorder="1" applyAlignment="1">
      <alignment horizontal="center"/>
    </xf>
    <xf numFmtId="164" fontId="0" fillId="0" borderId="24" xfId="0" applyNumberFormat="1" applyBorder="1" applyAlignment="1">
      <alignment horizontal="center"/>
    </xf>
    <xf numFmtId="164" fontId="0" fillId="0" borderId="34" xfId="0" applyNumberFormat="1" applyBorder="1" applyAlignment="1">
      <alignment horizontal="center"/>
    </xf>
    <xf numFmtId="0" fontId="2" fillId="0" borderId="58" xfId="0" applyFont="1" applyFill="1" applyBorder="1" applyAlignment="1">
      <alignment horizontal="center"/>
    </xf>
    <xf numFmtId="0" fontId="2" fillId="0" borderId="59" xfId="0" applyFont="1" applyFill="1" applyBorder="1" applyAlignment="1">
      <alignment horizontal="center"/>
    </xf>
    <xf numFmtId="0" fontId="2" fillId="0" borderId="60" xfId="0" applyFont="1" applyFill="1" applyBorder="1" applyAlignment="1">
      <alignment horizontal="center"/>
    </xf>
    <xf numFmtId="49" fontId="2" fillId="0" borderId="8" xfId="0" applyNumberFormat="1" applyFont="1" applyBorder="1" applyAlignment="1">
      <alignment horizontal="center"/>
    </xf>
    <xf numFmtId="0" fontId="2" fillId="0" borderId="8" xfId="0" applyFont="1" applyBorder="1" applyAlignment="1">
      <alignment horizontal="left"/>
    </xf>
    <xf numFmtId="49" fontId="2" fillId="0" borderId="32" xfId="0" applyNumberFormat="1" applyFont="1" applyBorder="1" applyAlignment="1">
      <alignment horizontal="center"/>
    </xf>
    <xf numFmtId="1" fontId="2" fillId="0" borderId="34" xfId="0" applyNumberFormat="1" applyFont="1" applyBorder="1" applyAlignment="1">
      <alignment horizontal="center"/>
    </xf>
    <xf numFmtId="0" fontId="2" fillId="0" borderId="36" xfId="0" applyFont="1" applyBorder="1" applyAlignment="1">
      <alignment horizontal="center"/>
    </xf>
    <xf numFmtId="0" fontId="0" fillId="0" borderId="15" xfId="0" applyBorder="1" applyAlignment="1">
      <alignment horizontal="center"/>
    </xf>
    <xf numFmtId="0" fontId="2" fillId="0" borderId="14" xfId="0" applyFont="1" applyBorder="1" applyAlignment="1">
      <alignment horizontal="center"/>
    </xf>
    <xf numFmtId="0" fontId="2" fillId="0" borderId="29" xfId="0" applyFont="1" applyBorder="1" applyAlignment="1">
      <alignment horizontal="center" vertical="center"/>
    </xf>
    <xf numFmtId="49" fontId="2" fillId="0" borderId="29" xfId="0" applyNumberFormat="1" applyFont="1" applyBorder="1" applyAlignment="1">
      <alignment horizontal="center" vertical="center"/>
    </xf>
    <xf numFmtId="49" fontId="2" fillId="0" borderId="30" xfId="0" applyNumberFormat="1" applyFont="1" applyBorder="1" applyAlignment="1">
      <alignment horizontal="center" vertical="center"/>
    </xf>
    <xf numFmtId="164" fontId="2" fillId="0" borderId="24" xfId="0" applyNumberFormat="1" applyFont="1" applyFill="1" applyBorder="1" applyAlignment="1">
      <alignment horizontal="center"/>
    </xf>
    <xf numFmtId="164" fontId="2" fillId="0" borderId="8" xfId="0" applyNumberFormat="1" applyFont="1" applyFill="1" applyBorder="1" applyAlignment="1">
      <alignment horizontal="center"/>
    </xf>
    <xf numFmtId="164" fontId="2" fillId="0" borderId="11" xfId="0" applyNumberFormat="1" applyFont="1" applyFill="1" applyBorder="1" applyAlignment="1">
      <alignment horizontal="center"/>
    </xf>
    <xf numFmtId="0" fontId="2" fillId="0" borderId="24" xfId="0" applyFont="1" applyBorder="1" applyAlignment="1">
      <alignment horizontal="center"/>
    </xf>
    <xf numFmtId="164" fontId="2" fillId="0" borderId="24" xfId="0" applyNumberFormat="1" applyFont="1" applyBorder="1" applyAlignment="1">
      <alignment horizontal="center"/>
    </xf>
    <xf numFmtId="164" fontId="2" fillId="0" borderId="48" xfId="0" applyNumberFormat="1" applyFont="1" applyBorder="1" applyAlignment="1">
      <alignment horizontal="center"/>
    </xf>
    <xf numFmtId="0" fontId="2" fillId="0" borderId="14" xfId="0" applyFont="1" applyBorder="1" applyAlignment="1">
      <alignment horizontal="left" wrapText="1"/>
    </xf>
    <xf numFmtId="0" fontId="2" fillId="0" borderId="14" xfId="0" applyFont="1" applyFill="1" applyBorder="1"/>
    <xf numFmtId="1" fontId="2" fillId="0" borderId="73" xfId="0" applyNumberFormat="1" applyFont="1" applyFill="1" applyBorder="1" applyAlignment="1">
      <alignment horizontal="center"/>
    </xf>
    <xf numFmtId="1" fontId="2" fillId="0" borderId="74" xfId="0" applyNumberFormat="1" applyFont="1" applyFill="1" applyBorder="1" applyAlignment="1">
      <alignment horizontal="center"/>
    </xf>
    <xf numFmtId="1" fontId="2" fillId="0" borderId="75" xfId="0" applyNumberFormat="1" applyFont="1" applyFill="1" applyBorder="1" applyAlignment="1">
      <alignment horizontal="center"/>
    </xf>
    <xf numFmtId="164" fontId="2" fillId="0" borderId="5" xfId="0" applyNumberFormat="1" applyFont="1" applyFill="1" applyBorder="1" applyAlignment="1">
      <alignment horizontal="center"/>
    </xf>
    <xf numFmtId="1" fontId="2" fillId="0" borderId="6" xfId="0" applyNumberFormat="1" applyFont="1" applyFill="1" applyBorder="1" applyAlignment="1">
      <alignment horizontal="center"/>
    </xf>
    <xf numFmtId="0" fontId="30" fillId="0" borderId="11" xfId="0" applyFont="1" applyBorder="1"/>
    <xf numFmtId="0" fontId="2" fillId="0" borderId="47" xfId="0" applyFont="1" applyBorder="1" applyAlignment="1">
      <alignment horizontal="left" wrapText="1"/>
    </xf>
    <xf numFmtId="0" fontId="30" fillId="0" borderId="8" xfId="0" applyFont="1" applyBorder="1"/>
    <xf numFmtId="1" fontId="2" fillId="0" borderId="44" xfId="0" applyNumberFormat="1" applyFont="1" applyFill="1" applyBorder="1" applyAlignment="1">
      <alignment horizontal="center"/>
    </xf>
    <xf numFmtId="1" fontId="2" fillId="0" borderId="43" xfId="0" applyNumberFormat="1" applyFont="1" applyFill="1" applyBorder="1" applyAlignment="1">
      <alignment horizontal="center"/>
    </xf>
    <xf numFmtId="1" fontId="2" fillId="0" borderId="11" xfId="0" applyNumberFormat="1" applyFont="1" applyBorder="1" applyAlignment="1">
      <alignment horizontal="center"/>
    </xf>
    <xf numFmtId="1" fontId="2" fillId="0" borderId="24" xfId="0" applyNumberFormat="1" applyFont="1" applyBorder="1" applyAlignment="1">
      <alignment horizontal="center"/>
    </xf>
    <xf numFmtId="1" fontId="2" fillId="0" borderId="45" xfId="0" applyNumberFormat="1" applyFont="1" applyFill="1" applyBorder="1" applyAlignment="1">
      <alignment horizontal="center"/>
    </xf>
    <xf numFmtId="0" fontId="45" fillId="14" borderId="103" xfId="6">
      <alignment horizontal="center" vertical="center"/>
    </xf>
    <xf numFmtId="0" fontId="2" fillId="0" borderId="31" xfId="0" applyFont="1" applyFill="1" applyBorder="1" applyAlignment="1">
      <alignment horizontal="center" wrapText="1"/>
    </xf>
    <xf numFmtId="0" fontId="2" fillId="0" borderId="19" xfId="0" applyFont="1" applyFill="1" applyBorder="1" applyAlignment="1">
      <alignment horizontal="center" wrapText="1"/>
    </xf>
    <xf numFmtId="0" fontId="2" fillId="0" borderId="20" xfId="0" applyFont="1" applyFill="1" applyBorder="1" applyAlignment="1">
      <alignment horizontal="center" wrapText="1"/>
    </xf>
    <xf numFmtId="0" fontId="5" fillId="0" borderId="48" xfId="0" applyFont="1" applyBorder="1" applyAlignment="1">
      <alignment horizontal="left"/>
    </xf>
    <xf numFmtId="0" fontId="0" fillId="0" borderId="48" xfId="0" applyBorder="1" applyAlignment="1">
      <alignment horizontal="center"/>
    </xf>
    <xf numFmtId="1" fontId="2" fillId="0" borderId="29" xfId="0" applyNumberFormat="1" applyFont="1" applyBorder="1" applyAlignment="1">
      <alignment horizontal="center"/>
    </xf>
    <xf numFmtId="1" fontId="2" fillId="0" borderId="78" xfId="0" applyNumberFormat="1" applyFont="1" applyBorder="1" applyAlignment="1">
      <alignment horizontal="center"/>
    </xf>
    <xf numFmtId="2" fontId="2" fillId="0" borderId="8" xfId="0" applyNumberFormat="1" applyFont="1" applyBorder="1" applyAlignment="1">
      <alignment horizontal="center"/>
    </xf>
    <xf numFmtId="0" fontId="2" fillId="0" borderId="32" xfId="0" applyFont="1" applyFill="1" applyBorder="1"/>
    <xf numFmtId="1" fontId="2" fillId="0" borderId="33" xfId="0" applyNumberFormat="1" applyFont="1" applyBorder="1" applyAlignment="1">
      <alignment horizontal="center"/>
    </xf>
    <xf numFmtId="2" fontId="2" fillId="0" borderId="24" xfId="0" applyNumberFormat="1" applyFont="1" applyBorder="1" applyAlignment="1">
      <alignment horizontal="center"/>
    </xf>
    <xf numFmtId="2" fontId="2" fillId="0" borderId="7" xfId="0" applyNumberFormat="1" applyFont="1" applyBorder="1" applyAlignment="1">
      <alignment horizontal="center"/>
    </xf>
    <xf numFmtId="2" fontId="2" fillId="0" borderId="9" xfId="0" applyNumberFormat="1" applyFont="1" applyBorder="1" applyAlignment="1">
      <alignment horizontal="center"/>
    </xf>
    <xf numFmtId="2" fontId="2" fillId="0" borderId="10" xfId="0" applyNumberFormat="1" applyFont="1" applyBorder="1" applyAlignment="1">
      <alignment horizontal="center"/>
    </xf>
    <xf numFmtId="2" fontId="2" fillId="0" borderId="11" xfId="0" applyNumberFormat="1" applyFont="1" applyBorder="1" applyAlignment="1">
      <alignment horizontal="center"/>
    </xf>
    <xf numFmtId="2" fontId="2" fillId="0" borderId="12" xfId="0" applyNumberFormat="1" applyFont="1" applyBorder="1" applyAlignment="1">
      <alignment horizontal="center"/>
    </xf>
    <xf numFmtId="2" fontId="2" fillId="0" borderId="34" xfId="0" applyNumberFormat="1" applyFont="1" applyBorder="1" applyAlignment="1">
      <alignment horizontal="center"/>
    </xf>
    <xf numFmtId="0" fontId="2" fillId="0" borderId="0" xfId="0" applyFont="1" applyFill="1" applyBorder="1"/>
    <xf numFmtId="0" fontId="38" fillId="10" borderId="26" xfId="4" applyBorder="1">
      <alignment horizontal="center" vertical="center"/>
    </xf>
    <xf numFmtId="37" fontId="2" fillId="0" borderId="0" xfId="1" applyNumberFormat="1" applyFont="1" applyFill="1" applyBorder="1" applyAlignment="1">
      <alignment horizontal="center"/>
    </xf>
    <xf numFmtId="0" fontId="9" fillId="0" borderId="0" xfId="0" applyFont="1" applyBorder="1"/>
    <xf numFmtId="164" fontId="25" fillId="2" borderId="26" xfId="0" applyNumberFormat="1" applyFont="1" applyFill="1" applyBorder="1" applyAlignment="1">
      <alignment horizontal="center"/>
    </xf>
    <xf numFmtId="37" fontId="19" fillId="0" borderId="0" xfId="1" applyNumberFormat="1" applyFont="1" applyFill="1" applyBorder="1" applyAlignment="1">
      <alignment horizontal="center"/>
    </xf>
    <xf numFmtId="49" fontId="19" fillId="0" borderId="0" xfId="0" applyNumberFormat="1" applyFont="1" applyFill="1" applyBorder="1" applyAlignment="1">
      <alignment horizontal="center"/>
    </xf>
    <xf numFmtId="169" fontId="2" fillId="0" borderId="41" xfId="1" applyNumberFormat="1" applyFont="1" applyFill="1" applyBorder="1" applyAlignment="1">
      <alignment horizontal="center"/>
    </xf>
    <xf numFmtId="2" fontId="2" fillId="0" borderId="28" xfId="0" applyNumberFormat="1" applyFont="1" applyBorder="1" applyAlignment="1">
      <alignment horizontal="center"/>
    </xf>
    <xf numFmtId="164" fontId="25" fillId="2" borderId="25" xfId="0" applyNumberFormat="1" applyFont="1" applyFill="1" applyBorder="1" applyAlignment="1">
      <alignment horizontal="center"/>
    </xf>
    <xf numFmtId="2" fontId="2" fillId="0" borderId="14" xfId="0" applyNumberFormat="1" applyFont="1" applyBorder="1" applyAlignment="1">
      <alignment horizontal="center"/>
    </xf>
    <xf numFmtId="2" fontId="2" fillId="0" borderId="15" xfId="0" applyNumberFormat="1" applyFont="1" applyBorder="1" applyAlignment="1">
      <alignment horizontal="center"/>
    </xf>
    <xf numFmtId="2" fontId="2" fillId="0" borderId="32" xfId="0" applyNumberFormat="1" applyFont="1" applyBorder="1" applyAlignment="1">
      <alignment horizontal="center"/>
    </xf>
    <xf numFmtId="2" fontId="2" fillId="0" borderId="25" xfId="1" applyNumberFormat="1" applyFont="1" applyFill="1" applyBorder="1" applyAlignment="1">
      <alignment horizontal="center"/>
    </xf>
    <xf numFmtId="2" fontId="2" fillId="0" borderId="35" xfId="0" applyNumberFormat="1" applyFont="1" applyBorder="1" applyAlignment="1">
      <alignment horizontal="center"/>
    </xf>
    <xf numFmtId="169" fontId="19" fillId="0" borderId="0" xfId="5" applyNumberFormat="1" applyFont="1" applyFill="1" applyBorder="1" applyAlignment="1">
      <alignment horizontal="left"/>
    </xf>
    <xf numFmtId="0" fontId="9" fillId="11" borderId="0" xfId="0" applyFont="1" applyFill="1"/>
    <xf numFmtId="41" fontId="2" fillId="0" borderId="37" xfId="1" applyNumberFormat="1" applyFont="1" applyFill="1" applyBorder="1" applyAlignment="1">
      <alignment horizontal="center" vertical="center"/>
    </xf>
    <xf numFmtId="41" fontId="2" fillId="0" borderId="35" xfId="1" applyNumberFormat="1" applyFont="1" applyFill="1" applyBorder="1" applyAlignment="1">
      <alignment horizontal="center" vertical="center"/>
    </xf>
    <xf numFmtId="167" fontId="2" fillId="0" borderId="28" xfId="1" applyNumberFormat="1" applyFont="1" applyFill="1" applyBorder="1" applyAlignment="1">
      <alignment horizontal="center" vertical="center"/>
    </xf>
    <xf numFmtId="0" fontId="2" fillId="0" borderId="62" xfId="0" applyFont="1" applyBorder="1" applyAlignment="1">
      <alignment horizontal="center" vertical="center"/>
    </xf>
    <xf numFmtId="39" fontId="2" fillId="0" borderId="28" xfId="1" applyNumberFormat="1" applyFont="1" applyFill="1" applyBorder="1" applyAlignment="1">
      <alignment horizontal="center" vertical="center"/>
    </xf>
    <xf numFmtId="167" fontId="2" fillId="0" borderId="24" xfId="1" applyNumberFormat="1" applyFont="1" applyFill="1" applyBorder="1" applyAlignment="1">
      <alignment horizontal="center" vertical="center"/>
    </xf>
    <xf numFmtId="37" fontId="2" fillId="0" borderId="33" xfId="1" applyNumberFormat="1" applyFont="1" applyFill="1" applyBorder="1" applyAlignment="1">
      <alignment horizontal="center" vertical="center"/>
    </xf>
    <xf numFmtId="167" fontId="2" fillId="0" borderId="11" xfId="1" applyNumberFormat="1" applyFont="1" applyFill="1" applyBorder="1" applyAlignment="1">
      <alignment horizontal="center" vertical="center"/>
    </xf>
    <xf numFmtId="37" fontId="2" fillId="0" borderId="30" xfId="1" applyNumberFormat="1" applyFont="1" applyFill="1" applyBorder="1" applyAlignment="1">
      <alignment horizontal="center" vertical="center"/>
    </xf>
    <xf numFmtId="0" fontId="38" fillId="2" borderId="40" xfId="0" applyFont="1" applyFill="1" applyBorder="1" applyAlignment="1">
      <alignment horizontal="center" vertical="center"/>
    </xf>
    <xf numFmtId="0" fontId="38" fillId="2" borderId="35" xfId="0" applyFont="1" applyFill="1" applyBorder="1" applyAlignment="1">
      <alignment horizontal="center" vertical="center"/>
    </xf>
    <xf numFmtId="0" fontId="38" fillId="2" borderId="37" xfId="0" applyFont="1" applyFill="1" applyBorder="1" applyAlignment="1">
      <alignment horizontal="center" vertical="center"/>
    </xf>
    <xf numFmtId="0" fontId="38" fillId="2" borderId="26" xfId="0" applyFont="1" applyFill="1" applyBorder="1" applyAlignment="1">
      <alignment horizontal="center" vertical="center"/>
    </xf>
    <xf numFmtId="0" fontId="38" fillId="10" borderId="83" xfId="4" applyFont="1" applyBorder="1" applyAlignment="1">
      <alignment horizontal="center" vertical="center"/>
    </xf>
    <xf numFmtId="0" fontId="38" fillId="10" borderId="20" xfId="4" applyFont="1" applyBorder="1" applyAlignment="1">
      <alignment horizontal="center" vertical="center"/>
    </xf>
    <xf numFmtId="164" fontId="38" fillId="2" borderId="50" xfId="0" applyNumberFormat="1" applyFont="1" applyFill="1" applyBorder="1" applyAlignment="1">
      <alignment horizontal="center" vertical="center"/>
    </xf>
    <xf numFmtId="0" fontId="38" fillId="2" borderId="79" xfId="0" applyFont="1" applyFill="1" applyBorder="1" applyAlignment="1">
      <alignment horizontal="center" vertical="center"/>
    </xf>
    <xf numFmtId="164" fontId="41" fillId="2" borderId="35" xfId="0" applyNumberFormat="1" applyFont="1" applyFill="1" applyBorder="1" applyAlignment="1">
      <alignment horizontal="center"/>
    </xf>
    <xf numFmtId="164" fontId="41" fillId="2" borderId="26" xfId="0" applyNumberFormat="1" applyFont="1" applyFill="1" applyBorder="1" applyAlignment="1">
      <alignment horizontal="center"/>
    </xf>
    <xf numFmtId="164" fontId="38" fillId="2" borderId="76" xfId="0" applyNumberFormat="1" applyFont="1" applyFill="1" applyBorder="1" applyAlignment="1">
      <alignment horizontal="center" vertical="center"/>
    </xf>
    <xf numFmtId="0" fontId="38" fillId="10" borderId="50" xfId="4" applyFont="1" applyBorder="1" applyAlignment="1">
      <alignment horizontal="center" vertical="center"/>
    </xf>
    <xf numFmtId="0" fontId="38" fillId="2" borderId="69" xfId="0" applyFont="1" applyFill="1" applyBorder="1" applyAlignment="1">
      <alignment horizontal="center" vertical="center"/>
    </xf>
    <xf numFmtId="0" fontId="38" fillId="2" borderId="58" xfId="0" applyFont="1" applyFill="1" applyBorder="1" applyAlignment="1">
      <alignment horizontal="center" vertical="center"/>
    </xf>
    <xf numFmtId="0" fontId="38" fillId="2" borderId="60" xfId="0" applyFont="1" applyFill="1" applyBorder="1" applyAlignment="1">
      <alignment horizontal="center" vertical="center"/>
    </xf>
    <xf numFmtId="0" fontId="41" fillId="2" borderId="35" xfId="0" applyFont="1" applyFill="1" applyBorder="1" applyAlignment="1">
      <alignment horizontal="center"/>
    </xf>
    <xf numFmtId="0" fontId="41" fillId="2" borderId="35" xfId="0" applyFont="1" applyFill="1" applyBorder="1" applyAlignment="1">
      <alignment horizontal="center" vertical="center"/>
    </xf>
    <xf numFmtId="0" fontId="38" fillId="10" borderId="69" xfId="4" applyFont="1" applyBorder="1">
      <alignment horizontal="center" vertical="center"/>
    </xf>
    <xf numFmtId="49" fontId="38" fillId="2" borderId="37" xfId="0" applyNumberFormat="1" applyFont="1" applyFill="1" applyBorder="1" applyAlignment="1">
      <alignment horizontal="center"/>
    </xf>
    <xf numFmtId="49" fontId="38" fillId="2" borderId="35" xfId="0" applyNumberFormat="1" applyFont="1" applyFill="1" applyBorder="1" applyAlignment="1">
      <alignment horizontal="center"/>
    </xf>
    <xf numFmtId="49" fontId="38" fillId="2" borderId="57" xfId="0" applyNumberFormat="1" applyFont="1" applyFill="1" applyBorder="1" applyAlignment="1">
      <alignment horizontal="center"/>
    </xf>
    <xf numFmtId="164" fontId="38" fillId="2" borderId="50" xfId="0" applyNumberFormat="1" applyFont="1" applyFill="1" applyBorder="1" applyAlignment="1">
      <alignment horizontal="center"/>
    </xf>
    <xf numFmtId="0" fontId="38" fillId="2" borderId="40" xfId="0" applyFont="1" applyFill="1" applyBorder="1" applyAlignment="1">
      <alignment horizontal="center"/>
    </xf>
    <xf numFmtId="164" fontId="38" fillId="2" borderId="52" xfId="0" applyNumberFormat="1" applyFont="1" applyFill="1" applyBorder="1" applyAlignment="1">
      <alignment horizontal="center"/>
    </xf>
    <xf numFmtId="0" fontId="38" fillId="2" borderId="69" xfId="0" applyFont="1" applyFill="1" applyBorder="1" applyAlignment="1">
      <alignment horizontal="center"/>
    </xf>
    <xf numFmtId="0" fontId="38" fillId="2" borderId="54" xfId="0" applyFont="1" applyFill="1" applyBorder="1" applyAlignment="1">
      <alignment horizontal="center"/>
    </xf>
    <xf numFmtId="0" fontId="38" fillId="2" borderId="70" xfId="0" applyFont="1" applyFill="1" applyBorder="1" applyAlignment="1">
      <alignment horizontal="center"/>
    </xf>
    <xf numFmtId="0" fontId="38" fillId="2" borderId="64" xfId="0" applyFont="1" applyFill="1" applyBorder="1" applyAlignment="1">
      <alignment horizontal="center" wrapText="1"/>
    </xf>
    <xf numFmtId="0" fontId="38" fillId="2" borderId="65" xfId="0" applyFont="1" applyFill="1" applyBorder="1" applyAlignment="1">
      <alignment horizontal="center" wrapText="1"/>
    </xf>
    <xf numFmtId="0" fontId="38" fillId="2" borderId="65" xfId="0" applyFont="1" applyFill="1" applyBorder="1" applyAlignment="1">
      <alignment horizontal="center"/>
    </xf>
    <xf numFmtId="0" fontId="38" fillId="2" borderId="66" xfId="0" applyFont="1" applyFill="1" applyBorder="1" applyAlignment="1">
      <alignment horizontal="center" wrapText="1"/>
    </xf>
    <xf numFmtId="0" fontId="38" fillId="2" borderId="8" xfId="0" applyFont="1" applyFill="1" applyBorder="1" applyAlignment="1">
      <alignment horizontal="center" vertical="center" wrapText="1"/>
    </xf>
    <xf numFmtId="0" fontId="2" fillId="0" borderId="0" xfId="0" applyFont="1"/>
    <xf numFmtId="0" fontId="38" fillId="2" borderId="0" xfId="0" applyFont="1" applyFill="1" applyAlignment="1">
      <alignment horizontal="center"/>
    </xf>
    <xf numFmtId="0" fontId="38" fillId="2" borderId="0" xfId="0" applyFont="1" applyFill="1" applyAlignment="1">
      <alignment horizontal="left"/>
    </xf>
    <xf numFmtId="0" fontId="38" fillId="2" borderId="8" xfId="0" applyFont="1" applyFill="1" applyBorder="1" applyAlignment="1">
      <alignment horizontal="left" vertical="center" wrapText="1"/>
    </xf>
    <xf numFmtId="0" fontId="38" fillId="2" borderId="50" xfId="0" applyFont="1" applyFill="1" applyBorder="1" applyAlignment="1">
      <alignment horizontal="center" vertical="center"/>
    </xf>
    <xf numFmtId="0" fontId="38" fillId="2" borderId="38" xfId="0" applyFont="1" applyFill="1" applyBorder="1" applyAlignment="1">
      <alignment horizontal="center" vertical="center"/>
    </xf>
    <xf numFmtId="0" fontId="38" fillId="2" borderId="54" xfId="0" applyFont="1" applyFill="1" applyBorder="1" applyAlignment="1">
      <alignment horizontal="center" vertical="center"/>
    </xf>
    <xf numFmtId="0" fontId="38" fillId="2" borderId="67"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71" xfId="0" applyFont="1" applyFill="1" applyBorder="1" applyAlignment="1">
      <alignment horizontal="center" vertical="center"/>
    </xf>
    <xf numFmtId="0" fontId="38" fillId="2" borderId="51" xfId="0" applyFont="1" applyFill="1" applyBorder="1" applyAlignment="1">
      <alignment horizontal="center" vertical="center"/>
    </xf>
    <xf numFmtId="0" fontId="38" fillId="2" borderId="3" xfId="0" applyFont="1" applyFill="1" applyBorder="1" applyAlignment="1">
      <alignment horizontal="center" vertical="center"/>
    </xf>
    <xf numFmtId="0" fontId="38" fillId="2" borderId="61" xfId="0" applyFont="1" applyFill="1" applyBorder="1" applyAlignment="1">
      <alignment horizontal="center" vertical="center"/>
    </xf>
    <xf numFmtId="0" fontId="38" fillId="2" borderId="68" xfId="0" applyFont="1" applyFill="1" applyBorder="1" applyAlignment="1">
      <alignment horizontal="center" vertical="center"/>
    </xf>
    <xf numFmtId="0" fontId="38" fillId="2" borderId="53" xfId="0" applyFont="1" applyFill="1" applyBorder="1" applyAlignment="1">
      <alignment horizontal="center" vertical="center"/>
    </xf>
    <xf numFmtId="4" fontId="43" fillId="3" borderId="85" xfId="5" applyBorder="1">
      <alignment horizontal="center"/>
    </xf>
    <xf numFmtId="4" fontId="43" fillId="3" borderId="86" xfId="5" applyBorder="1">
      <alignment horizontal="center"/>
    </xf>
    <xf numFmtId="4" fontId="43" fillId="3" borderId="88" xfId="5" applyBorder="1">
      <alignment horizontal="center"/>
    </xf>
    <xf numFmtId="4" fontId="43" fillId="3" borderId="89" xfId="5" applyBorder="1">
      <alignment horizontal="center"/>
    </xf>
    <xf numFmtId="4" fontId="43" fillId="3" borderId="90" xfId="5" applyBorder="1">
      <alignment horizontal="center"/>
    </xf>
    <xf numFmtId="4" fontId="43" fillId="3" borderId="91" xfId="5" applyBorder="1">
      <alignment horizontal="center"/>
    </xf>
    <xf numFmtId="4" fontId="43" fillId="3" borderId="92" xfId="5" applyBorder="1">
      <alignment horizontal="center"/>
    </xf>
    <xf numFmtId="4" fontId="43" fillId="3" borderId="93" xfId="5" applyBorder="1">
      <alignment horizontal="center"/>
    </xf>
    <xf numFmtId="4" fontId="43" fillId="3" borderId="94" xfId="5" applyBorder="1">
      <alignment horizontal="center"/>
    </xf>
    <xf numFmtId="4" fontId="43" fillId="3" borderId="95" xfId="5" applyBorder="1">
      <alignment horizontal="center"/>
    </xf>
    <xf numFmtId="4" fontId="43" fillId="3" borderId="96" xfId="5" applyBorder="1">
      <alignment horizontal="center"/>
    </xf>
    <xf numFmtId="0" fontId="43" fillId="3" borderId="91" xfId="0" applyFont="1" applyFill="1" applyBorder="1"/>
    <xf numFmtId="0" fontId="44" fillId="3" borderId="92" xfId="0" applyFont="1" applyFill="1" applyBorder="1" applyAlignment="1">
      <alignment horizontal="left"/>
    </xf>
    <xf numFmtId="0" fontId="43" fillId="3" borderId="92" xfId="0" applyFont="1" applyFill="1" applyBorder="1" applyAlignment="1">
      <alignment horizontal="center"/>
    </xf>
    <xf numFmtId="2" fontId="43" fillId="3" borderId="92" xfId="0" applyNumberFormat="1" applyFont="1" applyFill="1" applyBorder="1" applyAlignment="1">
      <alignment horizontal="center"/>
    </xf>
    <xf numFmtId="164" fontId="43" fillId="3" borderId="93" xfId="0" applyNumberFormat="1" applyFont="1" applyFill="1" applyBorder="1" applyAlignment="1">
      <alignment horizontal="center"/>
    </xf>
    <xf numFmtId="4" fontId="43" fillId="3" borderId="98" xfId="5" applyBorder="1">
      <alignment horizontal="center"/>
    </xf>
    <xf numFmtId="3" fontId="43" fillId="3" borderId="86" xfId="0" applyNumberFormat="1" applyFont="1" applyFill="1" applyBorder="1" applyAlignment="1">
      <alignment horizontal="center" vertical="center"/>
    </xf>
    <xf numFmtId="3" fontId="43" fillId="3" borderId="87" xfId="0" applyNumberFormat="1" applyFont="1" applyFill="1" applyBorder="1" applyAlignment="1">
      <alignment horizontal="center" vertical="center"/>
    </xf>
    <xf numFmtId="3" fontId="43" fillId="3" borderId="100" xfId="0" applyNumberFormat="1" applyFont="1" applyFill="1" applyBorder="1" applyAlignment="1">
      <alignment horizontal="center" vertical="center"/>
    </xf>
    <xf numFmtId="3" fontId="43" fillId="3" borderId="89" xfId="0" applyNumberFormat="1" applyFont="1" applyFill="1" applyBorder="1" applyAlignment="1">
      <alignment horizontal="center" vertical="center"/>
    </xf>
    <xf numFmtId="3" fontId="43" fillId="3" borderId="90" xfId="0" applyNumberFormat="1" applyFont="1" applyFill="1" applyBorder="1" applyAlignment="1">
      <alignment horizontal="center" vertical="center"/>
    </xf>
    <xf numFmtId="3" fontId="43" fillId="3" borderId="101" xfId="0" applyNumberFormat="1" applyFont="1" applyFill="1" applyBorder="1" applyAlignment="1">
      <alignment horizontal="center" vertical="center"/>
    </xf>
    <xf numFmtId="3" fontId="43" fillId="3" borderId="92" xfId="0" applyNumberFormat="1" applyFont="1" applyFill="1" applyBorder="1" applyAlignment="1">
      <alignment horizontal="center" vertical="center"/>
    </xf>
    <xf numFmtId="3" fontId="43" fillId="3" borderId="93" xfId="0" applyNumberFormat="1" applyFont="1" applyFill="1" applyBorder="1" applyAlignment="1">
      <alignment horizontal="center" vertical="center"/>
    </xf>
    <xf numFmtId="3" fontId="43" fillId="3" borderId="102" xfId="0" applyNumberFormat="1" applyFont="1" applyFill="1" applyBorder="1" applyAlignment="1">
      <alignment horizontal="center" vertical="center"/>
    </xf>
    <xf numFmtId="0" fontId="43" fillId="3" borderId="97" xfId="0" applyFont="1" applyFill="1" applyBorder="1" applyAlignment="1">
      <alignment horizontal="center" vertical="center"/>
    </xf>
    <xf numFmtId="0" fontId="43" fillId="3" borderId="99" xfId="0" applyFont="1" applyFill="1" applyBorder="1" applyAlignment="1">
      <alignment horizontal="center" vertical="center"/>
    </xf>
    <xf numFmtId="0" fontId="43" fillId="3" borderId="98" xfId="0" applyFont="1" applyFill="1" applyBorder="1" applyAlignment="1">
      <alignment horizontal="center" vertical="center"/>
    </xf>
    <xf numFmtId="169" fontId="43" fillId="3" borderId="86" xfId="5" applyNumberFormat="1" applyBorder="1">
      <alignment horizontal="center"/>
    </xf>
    <xf numFmtId="169" fontId="43" fillId="3" borderId="89" xfId="5" applyNumberFormat="1" applyBorder="1">
      <alignment horizontal="center"/>
    </xf>
    <xf numFmtId="3" fontId="43" fillId="3" borderId="86" xfId="5" applyNumberFormat="1" applyBorder="1">
      <alignment horizontal="center"/>
    </xf>
    <xf numFmtId="3" fontId="43" fillId="3" borderId="89" xfId="5" applyNumberFormat="1" applyBorder="1">
      <alignment horizontal="center"/>
    </xf>
    <xf numFmtId="3" fontId="43" fillId="3" borderId="87" xfId="5" applyNumberFormat="1" applyBorder="1">
      <alignment horizontal="center"/>
    </xf>
    <xf numFmtId="3" fontId="43" fillId="3" borderId="90" xfId="5" applyNumberFormat="1" applyBorder="1">
      <alignment horizontal="center"/>
    </xf>
    <xf numFmtId="169" fontId="43" fillId="3" borderId="92" xfId="5" applyNumberFormat="1" applyBorder="1">
      <alignment horizontal="center"/>
    </xf>
    <xf numFmtId="3" fontId="43" fillId="3" borderId="92" xfId="5" applyNumberFormat="1" applyBorder="1">
      <alignment horizontal="center"/>
    </xf>
    <xf numFmtId="3" fontId="43" fillId="3" borderId="93" xfId="5" applyNumberFormat="1" applyBorder="1">
      <alignment horizontal="center"/>
    </xf>
    <xf numFmtId="164" fontId="43" fillId="3" borderId="92" xfId="0" applyNumberFormat="1" applyFont="1" applyFill="1" applyBorder="1" applyAlignment="1">
      <alignment horizontal="center"/>
    </xf>
    <xf numFmtId="169" fontId="43" fillId="3" borderId="97" xfId="5" applyNumberFormat="1" applyBorder="1">
      <alignment horizontal="center"/>
    </xf>
    <xf numFmtId="169" fontId="43" fillId="3" borderId="99" xfId="5" applyNumberFormat="1" applyBorder="1">
      <alignment horizontal="center"/>
    </xf>
    <xf numFmtId="169" fontId="43" fillId="3" borderId="85" xfId="5" applyNumberFormat="1" applyBorder="1">
      <alignment horizontal="center"/>
    </xf>
    <xf numFmtId="169" fontId="43" fillId="3" borderId="91" xfId="5" applyNumberFormat="1" applyBorder="1">
      <alignment horizontal="center"/>
    </xf>
    <xf numFmtId="0" fontId="45" fillId="14" borderId="104" xfId="6" applyBorder="1">
      <alignment horizontal="center" vertical="center"/>
    </xf>
    <xf numFmtId="0" fontId="45" fillId="14" borderId="105" xfId="6" applyBorder="1">
      <alignment horizontal="center" vertical="center"/>
    </xf>
    <xf numFmtId="0" fontId="45" fillId="14" borderId="106" xfId="6" applyBorder="1">
      <alignment horizontal="center" vertical="center"/>
    </xf>
    <xf numFmtId="0" fontId="45" fillId="14" borderId="107" xfId="6" applyBorder="1">
      <alignment horizontal="center" vertical="center"/>
    </xf>
    <xf numFmtId="2" fontId="2" fillId="0" borderId="35" xfId="0" applyNumberFormat="1" applyFont="1" applyBorder="1" applyAlignment="1">
      <alignment horizontal="center" vertical="center"/>
    </xf>
    <xf numFmtId="0" fontId="45" fillId="14" borderId="109" xfId="6" applyBorder="1">
      <alignment horizontal="center" vertical="center"/>
    </xf>
    <xf numFmtId="0" fontId="32" fillId="0" borderId="0" xfId="0" applyFont="1"/>
    <xf numFmtId="0" fontId="38" fillId="10" borderId="19" xfId="4" applyFont="1" applyBorder="1" applyAlignment="1">
      <alignment horizontal="center" vertical="center"/>
    </xf>
    <xf numFmtId="4" fontId="2" fillId="0" borderId="62" xfId="0" applyNumberFormat="1" applyFont="1" applyFill="1" applyBorder="1" applyAlignment="1">
      <alignment horizontal="center" vertical="center"/>
    </xf>
    <xf numFmtId="169" fontId="43" fillId="3" borderId="88" xfId="5" applyNumberFormat="1" applyBorder="1">
      <alignment horizontal="center"/>
    </xf>
    <xf numFmtId="4" fontId="43" fillId="3" borderId="112" xfId="5" applyBorder="1">
      <alignment horizontal="center"/>
    </xf>
    <xf numFmtId="169" fontId="43" fillId="3" borderId="113" xfId="5" applyNumberFormat="1" applyBorder="1">
      <alignment horizontal="center"/>
    </xf>
    <xf numFmtId="169" fontId="43" fillId="3" borderId="114" xfId="5" applyNumberFormat="1" applyBorder="1">
      <alignment horizontal="center"/>
    </xf>
    <xf numFmtId="4" fontId="43" fillId="3" borderId="115" xfId="5" applyBorder="1">
      <alignment horizontal="center"/>
    </xf>
    <xf numFmtId="4" fontId="43" fillId="3" borderId="116" xfId="5" applyBorder="1">
      <alignment horizontal="center"/>
    </xf>
    <xf numFmtId="4" fontId="43" fillId="3" borderId="99" xfId="5" applyBorder="1">
      <alignment horizontal="center"/>
    </xf>
    <xf numFmtId="164" fontId="38" fillId="2" borderId="35" xfId="0" applyNumberFormat="1" applyFont="1" applyFill="1" applyBorder="1" applyAlignment="1">
      <alignment horizontal="center"/>
    </xf>
    <xf numFmtId="4" fontId="18" fillId="0" borderId="0" xfId="2" applyNumberFormat="1" applyFont="1" applyAlignment="1">
      <alignment horizontal="center"/>
    </xf>
    <xf numFmtId="0" fontId="45" fillId="14" borderId="109" xfId="6" applyBorder="1">
      <alignment horizontal="center" vertical="center"/>
    </xf>
    <xf numFmtId="2" fontId="2" fillId="0" borderId="18" xfId="0" applyNumberFormat="1" applyFont="1" applyBorder="1" applyAlignment="1">
      <alignment horizontal="center"/>
    </xf>
    <xf numFmtId="169" fontId="2" fillId="0" borderId="25" xfId="1" applyNumberFormat="1" applyFont="1" applyFill="1" applyBorder="1" applyAlignment="1">
      <alignment horizontal="center"/>
    </xf>
    <xf numFmtId="4" fontId="9" fillId="0" borderId="0" xfId="0" applyNumberFormat="1" applyFont="1"/>
    <xf numFmtId="0" fontId="46" fillId="0" borderId="0" xfId="2" applyFont="1" applyAlignment="1">
      <alignment horizontal="right"/>
    </xf>
    <xf numFmtId="4" fontId="2" fillId="0" borderId="0" xfId="2" applyNumberFormat="1" applyFont="1" applyAlignment="1">
      <alignment horizontal="center"/>
    </xf>
    <xf numFmtId="4" fontId="32" fillId="0" borderId="0" xfId="2" applyNumberFormat="1" applyFont="1" applyAlignment="1">
      <alignment horizontal="center"/>
    </xf>
    <xf numFmtId="0" fontId="47" fillId="0" borderId="0" xfId="0" applyFont="1" applyAlignment="1">
      <alignment horizontal="right"/>
    </xf>
    <xf numFmtId="0" fontId="47" fillId="0" borderId="0" xfId="0" applyFont="1"/>
    <xf numFmtId="167" fontId="2" fillId="0" borderId="81" xfId="1" applyNumberFormat="1" applyFont="1" applyBorder="1" applyAlignment="1">
      <alignment horizontal="center"/>
    </xf>
    <xf numFmtId="167" fontId="2" fillId="0" borderId="36" xfId="1" applyNumberFormat="1" applyFont="1" applyBorder="1" applyAlignment="1">
      <alignment horizontal="center"/>
    </xf>
    <xf numFmtId="0" fontId="47" fillId="0" borderId="0" xfId="0" applyFont="1" applyAlignment="1">
      <alignment horizontal="center"/>
    </xf>
    <xf numFmtId="2" fontId="9" fillId="0" borderId="0" xfId="0" applyNumberFormat="1" applyFont="1" applyAlignment="1">
      <alignment horizontal="center"/>
    </xf>
    <xf numFmtId="164" fontId="38" fillId="2" borderId="77" xfId="0" applyNumberFormat="1" applyFont="1" applyFill="1" applyBorder="1" applyAlignment="1">
      <alignment horizontal="center"/>
    </xf>
    <xf numFmtId="164" fontId="38" fillId="2" borderId="59" xfId="0" applyNumberFormat="1" applyFont="1" applyFill="1" applyBorder="1" applyAlignment="1">
      <alignment horizontal="center"/>
    </xf>
    <xf numFmtId="164" fontId="38" fillId="2" borderId="18" xfId="0" applyNumberFormat="1" applyFont="1" applyFill="1" applyBorder="1" applyAlignment="1">
      <alignment horizontal="center"/>
    </xf>
    <xf numFmtId="0" fontId="38" fillId="2" borderId="80" xfId="0" applyFont="1" applyFill="1" applyBorder="1" applyAlignment="1">
      <alignment horizontal="center" vertical="center"/>
    </xf>
    <xf numFmtId="49" fontId="38" fillId="0" borderId="0" xfId="0" applyNumberFormat="1" applyFont="1" applyFill="1" applyBorder="1" applyAlignment="1">
      <alignment horizontal="center"/>
    </xf>
    <xf numFmtId="4" fontId="47" fillId="0" borderId="0" xfId="2" applyNumberFormat="1" applyFont="1" applyAlignment="1">
      <alignment horizontal="right"/>
    </xf>
    <xf numFmtId="169" fontId="2" fillId="0" borderId="27" xfId="1" applyNumberFormat="1" applyFont="1" applyBorder="1" applyAlignment="1">
      <alignment horizontal="center"/>
    </xf>
    <xf numFmtId="37" fontId="2" fillId="0" borderId="65" xfId="1" applyNumberFormat="1" applyFont="1" applyBorder="1" applyAlignment="1">
      <alignment horizontal="center"/>
    </xf>
    <xf numFmtId="4" fontId="9" fillId="0" borderId="0" xfId="0" applyNumberFormat="1" applyFont="1" applyAlignment="1">
      <alignment horizontal="center"/>
    </xf>
    <xf numFmtId="167" fontId="2" fillId="0" borderId="62" xfId="1" applyNumberFormat="1" applyFont="1" applyFill="1" applyBorder="1" applyAlignment="1">
      <alignment horizontal="center" vertical="center"/>
    </xf>
    <xf numFmtId="3" fontId="43" fillId="0" borderId="120" xfId="0" applyNumberFormat="1" applyFont="1" applyFill="1" applyBorder="1" applyAlignment="1">
      <alignment horizontal="center" vertical="center"/>
    </xf>
    <xf numFmtId="3" fontId="43" fillId="0" borderId="121" xfId="0" applyNumberFormat="1" applyFont="1" applyFill="1" applyBorder="1" applyAlignment="1">
      <alignment horizontal="center" vertical="center"/>
    </xf>
    <xf numFmtId="3" fontId="43" fillId="0" borderId="122" xfId="0" applyNumberFormat="1" applyFont="1" applyFill="1" applyBorder="1" applyAlignment="1">
      <alignment horizontal="center" vertical="center"/>
    </xf>
    <xf numFmtId="3" fontId="43" fillId="0" borderId="126" xfId="0" applyNumberFormat="1" applyFont="1" applyFill="1" applyBorder="1" applyAlignment="1">
      <alignment horizontal="center" vertical="center"/>
    </xf>
    <xf numFmtId="3" fontId="43" fillId="0" borderId="127" xfId="0" applyNumberFormat="1" applyFont="1" applyFill="1" applyBorder="1" applyAlignment="1">
      <alignment horizontal="center" vertical="center"/>
    </xf>
    <xf numFmtId="3" fontId="43" fillId="0" borderId="128" xfId="0" applyNumberFormat="1" applyFont="1" applyFill="1" applyBorder="1" applyAlignment="1">
      <alignment horizontal="center" vertical="center"/>
    </xf>
    <xf numFmtId="3" fontId="43" fillId="0" borderId="123" xfId="0" applyNumberFormat="1" applyFont="1" applyFill="1" applyBorder="1" applyAlignment="1">
      <alignment horizontal="center" vertical="center"/>
    </xf>
    <xf numFmtId="3" fontId="43" fillId="0" borderId="124" xfId="0" applyNumberFormat="1" applyFont="1" applyFill="1" applyBorder="1" applyAlignment="1">
      <alignment horizontal="center" vertical="center"/>
    </xf>
    <xf numFmtId="3" fontId="43" fillId="0" borderId="125" xfId="0" applyNumberFormat="1" applyFont="1" applyFill="1" applyBorder="1" applyAlignment="1">
      <alignment horizontal="center" vertical="center"/>
    </xf>
    <xf numFmtId="3" fontId="43" fillId="0" borderId="129" xfId="0" applyNumberFormat="1" applyFont="1" applyFill="1" applyBorder="1" applyAlignment="1">
      <alignment horizontal="center" vertical="center"/>
    </xf>
    <xf numFmtId="3" fontId="43" fillId="0" borderId="130" xfId="0" applyNumberFormat="1" applyFont="1" applyFill="1" applyBorder="1" applyAlignment="1">
      <alignment horizontal="center" vertical="center"/>
    </xf>
    <xf numFmtId="3" fontId="43" fillId="0" borderId="131" xfId="0" applyNumberFormat="1" applyFont="1" applyFill="1" applyBorder="1" applyAlignment="1">
      <alignment horizontal="center" vertical="center"/>
    </xf>
    <xf numFmtId="0" fontId="0" fillId="0" borderId="132" xfId="0" applyBorder="1" applyAlignment="1">
      <alignment horizontal="center"/>
    </xf>
    <xf numFmtId="2" fontId="0" fillId="0" borderId="133" xfId="0" applyNumberFormat="1" applyBorder="1" applyAlignment="1">
      <alignment horizontal="center"/>
    </xf>
    <xf numFmtId="164" fontId="0" fillId="0" borderId="133" xfId="0" applyNumberFormat="1" applyBorder="1" applyAlignment="1">
      <alignment horizontal="center"/>
    </xf>
    <xf numFmtId="11" fontId="0" fillId="0" borderId="134" xfId="0" applyNumberFormat="1" applyBorder="1" applyAlignment="1">
      <alignment horizontal="center"/>
    </xf>
    <xf numFmtId="0" fontId="2" fillId="0" borderId="24" xfId="0" applyFont="1" applyBorder="1" applyAlignment="1">
      <alignment horizontal="left"/>
    </xf>
    <xf numFmtId="0" fontId="38" fillId="2" borderId="25" xfId="0" applyFont="1" applyFill="1" applyBorder="1" applyAlignment="1">
      <alignment horizontal="center"/>
    </xf>
    <xf numFmtId="0" fontId="38" fillId="2" borderId="35" xfId="0" applyFont="1" applyFill="1" applyBorder="1" applyAlignment="1">
      <alignment horizontal="center"/>
    </xf>
    <xf numFmtId="0" fontId="2" fillId="0" borderId="32" xfId="0" applyFont="1" applyBorder="1" applyAlignment="1">
      <alignment horizontal="center"/>
    </xf>
    <xf numFmtId="164" fontId="7" fillId="0" borderId="14" xfId="0" applyNumberFormat="1" applyFont="1" applyBorder="1" applyAlignment="1">
      <alignment horizontal="center"/>
    </xf>
    <xf numFmtId="164" fontId="7" fillId="0" borderId="15" xfId="0" applyNumberFormat="1" applyFont="1" applyBorder="1" applyAlignment="1">
      <alignment horizontal="center"/>
    </xf>
    <xf numFmtId="0" fontId="2" fillId="0" borderId="11" xfId="0" applyFont="1" applyBorder="1" applyAlignment="1">
      <alignment horizontal="left"/>
    </xf>
    <xf numFmtId="0" fontId="38" fillId="2" borderId="52" xfId="0" applyFont="1" applyFill="1" applyBorder="1" applyAlignment="1">
      <alignment horizontal="center"/>
    </xf>
    <xf numFmtId="0" fontId="9" fillId="0" borderId="136" xfId="0" applyFont="1" applyBorder="1"/>
    <xf numFmtId="0" fontId="47" fillId="0" borderId="136" xfId="0" applyFont="1" applyBorder="1" applyAlignment="1">
      <alignment horizontal="right"/>
    </xf>
    <xf numFmtId="0" fontId="9" fillId="0" borderId="137" xfId="0" applyFont="1" applyBorder="1"/>
    <xf numFmtId="0" fontId="47" fillId="0" borderId="0" xfId="0" applyFont="1" applyBorder="1"/>
    <xf numFmtId="0" fontId="9" fillId="0" borderId="139" xfId="0" applyFont="1" applyBorder="1"/>
    <xf numFmtId="0" fontId="9" fillId="0" borderId="138" xfId="0" applyFont="1" applyBorder="1"/>
    <xf numFmtId="0" fontId="47" fillId="0" borderId="0" xfId="0" applyFont="1" applyBorder="1" applyAlignment="1">
      <alignment horizontal="right"/>
    </xf>
    <xf numFmtId="0" fontId="47" fillId="0" borderId="0" xfId="0" applyFont="1" applyBorder="1" applyAlignment="1">
      <alignment vertical="center"/>
    </xf>
    <xf numFmtId="0" fontId="0" fillId="0" borderId="0" xfId="0" applyBorder="1" applyAlignment="1">
      <alignment vertical="center"/>
    </xf>
    <xf numFmtId="0" fontId="47" fillId="0" borderId="0" xfId="0" applyFont="1" applyBorder="1" applyAlignment="1">
      <alignment horizontal="right" vertical="center"/>
    </xf>
    <xf numFmtId="4" fontId="18" fillId="0" borderId="139" xfId="2" applyNumberFormat="1" applyFont="1" applyBorder="1" applyAlignment="1">
      <alignment horizontal="center"/>
    </xf>
    <xf numFmtId="0" fontId="46" fillId="0" borderId="0" xfId="2" applyFont="1" applyBorder="1" applyAlignment="1">
      <alignment horizontal="center"/>
    </xf>
    <xf numFmtId="2" fontId="47" fillId="0" borderId="0" xfId="0" applyNumberFormat="1" applyFont="1" applyFill="1" applyBorder="1" applyAlignment="1">
      <alignment horizontal="center"/>
    </xf>
    <xf numFmtId="2" fontId="47" fillId="0" borderId="0" xfId="0" applyNumberFormat="1" applyFont="1" applyBorder="1" applyAlignment="1">
      <alignment horizontal="left"/>
    </xf>
    <xf numFmtId="0" fontId="18" fillId="0" borderId="0" xfId="0" applyFont="1" applyFill="1" applyBorder="1" applyAlignment="1">
      <alignment horizontal="center"/>
    </xf>
    <xf numFmtId="4" fontId="18" fillId="0" borderId="139" xfId="2" applyNumberFormat="1" applyFont="1" applyFill="1" applyBorder="1" applyAlignment="1">
      <alignment horizontal="center"/>
    </xf>
    <xf numFmtId="2" fontId="47" fillId="0" borderId="0" xfId="0" applyNumberFormat="1" applyFont="1" applyBorder="1"/>
    <xf numFmtId="4" fontId="32" fillId="0" borderId="0" xfId="2" applyNumberFormat="1" applyFont="1" applyBorder="1" applyAlignment="1">
      <alignment horizontal="center"/>
    </xf>
    <xf numFmtId="2" fontId="47" fillId="0" borderId="0" xfId="0" applyNumberFormat="1" applyFont="1" applyBorder="1" applyAlignment="1">
      <alignment horizontal="center"/>
    </xf>
    <xf numFmtId="0" fontId="18" fillId="0" borderId="0" xfId="0" applyFont="1" applyBorder="1" applyAlignment="1">
      <alignment horizontal="right"/>
    </xf>
    <xf numFmtId="2" fontId="18" fillId="0" borderId="0" xfId="0" applyNumberFormat="1" applyFont="1" applyBorder="1" applyAlignment="1">
      <alignment horizontal="left"/>
    </xf>
    <xf numFmtId="2" fontId="18" fillId="0" borderId="0" xfId="0" applyNumberFormat="1" applyFont="1" applyBorder="1"/>
    <xf numFmtId="0" fontId="18" fillId="0" borderId="0" xfId="0" applyFont="1" applyBorder="1" applyAlignment="1">
      <alignment vertical="center"/>
    </xf>
    <xf numFmtId="0" fontId="0" fillId="0" borderId="138" xfId="0" applyBorder="1"/>
    <xf numFmtId="4" fontId="47" fillId="0" borderId="0" xfId="2" applyNumberFormat="1" applyFont="1" applyBorder="1" applyAlignment="1">
      <alignment horizontal="center"/>
    </xf>
    <xf numFmtId="0" fontId="9" fillId="0" borderId="140" xfId="0" applyFont="1" applyBorder="1"/>
    <xf numFmtId="0" fontId="9" fillId="0" borderId="141" xfId="0" applyFont="1" applyBorder="1"/>
    <xf numFmtId="0" fontId="52" fillId="0" borderId="141" xfId="7" applyBorder="1"/>
    <xf numFmtId="0" fontId="9" fillId="0" borderId="142" xfId="0" applyFont="1" applyBorder="1"/>
    <xf numFmtId="4" fontId="51" fillId="0" borderId="0" xfId="2" applyNumberFormat="1" applyFont="1" applyFill="1" applyBorder="1" applyAlignment="1">
      <alignment horizontal="center"/>
    </xf>
    <xf numFmtId="168" fontId="47" fillId="0" borderId="0" xfId="2" applyNumberFormat="1" applyFont="1" applyBorder="1" applyAlignment="1">
      <alignment horizontal="center"/>
    </xf>
    <xf numFmtId="4" fontId="32" fillId="0" borderId="138" xfId="2" applyNumberFormat="1" applyFont="1" applyBorder="1" applyAlignment="1">
      <alignment horizontal="center"/>
    </xf>
    <xf numFmtId="0" fontId="47" fillId="0" borderId="0" xfId="0" applyFont="1" applyBorder="1" applyAlignment="1">
      <alignment horizontal="center"/>
    </xf>
    <xf numFmtId="0" fontId="47" fillId="0" borderId="0" xfId="0" applyFont="1" applyFill="1" applyBorder="1" applyAlignment="1">
      <alignment horizontal="center"/>
    </xf>
    <xf numFmtId="4" fontId="47" fillId="0" borderId="0" xfId="2" applyNumberFormat="1" applyFont="1" applyFill="1" applyBorder="1" applyAlignment="1">
      <alignment horizontal="center"/>
    </xf>
    <xf numFmtId="4" fontId="47" fillId="0" borderId="141" xfId="2" applyNumberFormat="1" applyFont="1" applyFill="1" applyBorder="1" applyAlignment="1">
      <alignment horizontal="center"/>
    </xf>
    <xf numFmtId="4" fontId="47" fillId="0" borderId="0" xfId="0" applyNumberFormat="1" applyFont="1" applyBorder="1" applyAlignment="1">
      <alignment horizontal="center"/>
    </xf>
    <xf numFmtId="0" fontId="47" fillId="0" borderId="139" xfId="0" applyFont="1" applyBorder="1"/>
    <xf numFmtId="0" fontId="2" fillId="0" borderId="141" xfId="0" applyFont="1" applyBorder="1" applyAlignment="1">
      <alignment horizontal="right"/>
    </xf>
    <xf numFmtId="4" fontId="47" fillId="0" borderId="141" xfId="2" applyNumberFormat="1" applyFont="1" applyBorder="1" applyAlignment="1">
      <alignment horizontal="center"/>
    </xf>
    <xf numFmtId="0" fontId="47" fillId="0" borderId="141" xfId="0" applyFont="1" applyBorder="1"/>
    <xf numFmtId="4" fontId="32" fillId="0" borderId="141" xfId="2" applyNumberFormat="1" applyFont="1" applyBorder="1" applyAlignment="1">
      <alignment horizontal="center"/>
    </xf>
    <xf numFmtId="4" fontId="18" fillId="0" borderId="0" xfId="0" applyNumberFormat="1" applyFont="1" applyBorder="1" applyAlignment="1">
      <alignment horizontal="center"/>
    </xf>
    <xf numFmtId="4" fontId="47" fillId="0" borderId="141" xfId="0" applyNumberFormat="1" applyFont="1" applyBorder="1" applyAlignment="1">
      <alignment horizontal="center"/>
    </xf>
    <xf numFmtId="0" fontId="47" fillId="0" borderId="142" xfId="0" applyFont="1" applyBorder="1"/>
    <xf numFmtId="0" fontId="46" fillId="0" borderId="0" xfId="0" applyFont="1" applyBorder="1" applyAlignment="1">
      <alignment horizontal="center"/>
    </xf>
    <xf numFmtId="0" fontId="46" fillId="0" borderId="139" xfId="0" applyFont="1" applyBorder="1" applyAlignment="1">
      <alignment horizontal="center"/>
    </xf>
    <xf numFmtId="4" fontId="47" fillId="0" borderId="139" xfId="2" applyNumberFormat="1" applyFont="1" applyBorder="1" applyAlignment="1">
      <alignment horizontal="center"/>
    </xf>
    <xf numFmtId="0" fontId="46" fillId="0" borderId="141" xfId="2" applyFont="1" applyBorder="1" applyAlignment="1">
      <alignment horizontal="center"/>
    </xf>
    <xf numFmtId="4" fontId="47" fillId="0" borderId="142" xfId="2" applyNumberFormat="1" applyFont="1" applyBorder="1" applyAlignment="1">
      <alignment horizontal="center"/>
    </xf>
    <xf numFmtId="0" fontId="35" fillId="12" borderId="0" xfId="0" applyFont="1" applyFill="1" applyBorder="1" applyAlignment="1">
      <alignment horizontal="center"/>
    </xf>
    <xf numFmtId="0" fontId="46" fillId="0" borderId="139" xfId="2" applyFont="1" applyBorder="1" applyAlignment="1">
      <alignment horizontal="center"/>
    </xf>
    <xf numFmtId="0" fontId="46" fillId="0" borderId="138" xfId="2" applyFont="1" applyBorder="1" applyAlignment="1">
      <alignment horizontal="center"/>
    </xf>
    <xf numFmtId="0" fontId="46" fillId="0" borderId="140" xfId="2" applyFont="1" applyBorder="1" applyAlignment="1">
      <alignment horizontal="center"/>
    </xf>
    <xf numFmtId="0" fontId="35" fillId="12" borderId="135" xfId="0" applyFont="1" applyFill="1" applyBorder="1" applyAlignment="1">
      <alignment horizontal="center"/>
    </xf>
    <xf numFmtId="0" fontId="46" fillId="0" borderId="136" xfId="0" applyFont="1" applyBorder="1" applyAlignment="1">
      <alignment horizontal="center"/>
    </xf>
    <xf numFmtId="0" fontId="35" fillId="12" borderId="139" xfId="0" applyFont="1" applyFill="1" applyBorder="1" applyAlignment="1">
      <alignment horizontal="center"/>
    </xf>
    <xf numFmtId="0" fontId="35" fillId="12" borderId="141" xfId="0" applyFont="1" applyFill="1" applyBorder="1" applyAlignment="1">
      <alignment horizontal="center"/>
    </xf>
    <xf numFmtId="0" fontId="35" fillId="12" borderId="142" xfId="0" applyFont="1" applyFill="1" applyBorder="1" applyAlignment="1">
      <alignment horizontal="center"/>
    </xf>
    <xf numFmtId="164" fontId="47" fillId="0" borderId="0" xfId="2" applyNumberFormat="1" applyFont="1" applyBorder="1" applyAlignment="1">
      <alignment horizontal="center"/>
    </xf>
    <xf numFmtId="2" fontId="47" fillId="0" borderId="139" xfId="2" applyNumberFormat="1" applyFont="1" applyBorder="1" applyAlignment="1">
      <alignment horizontal="center"/>
    </xf>
    <xf numFmtId="164" fontId="47" fillId="0" borderId="141" xfId="2" applyNumberFormat="1" applyFont="1" applyBorder="1" applyAlignment="1">
      <alignment horizontal="center"/>
    </xf>
    <xf numFmtId="2" fontId="47" fillId="0" borderId="142" xfId="2" applyNumberFormat="1" applyFont="1" applyBorder="1" applyAlignment="1">
      <alignment horizontal="center"/>
    </xf>
    <xf numFmtId="164" fontId="47" fillId="0" borderId="141" xfId="0" applyNumberFormat="1" applyFont="1" applyBorder="1" applyAlignment="1">
      <alignment horizontal="center"/>
    </xf>
    <xf numFmtId="2" fontId="47" fillId="0" borderId="142" xfId="0" applyNumberFormat="1" applyFont="1" applyBorder="1" applyAlignment="1">
      <alignment horizontal="center"/>
    </xf>
    <xf numFmtId="0" fontId="47" fillId="0" borderId="138" xfId="2" applyFont="1" applyBorder="1"/>
    <xf numFmtId="0" fontId="2" fillId="0" borderId="138" xfId="2" applyBorder="1"/>
    <xf numFmtId="0" fontId="46" fillId="0" borderId="135" xfId="0" applyFont="1" applyBorder="1" applyAlignment="1">
      <alignment horizontal="center"/>
    </xf>
    <xf numFmtId="0" fontId="38" fillId="10" borderId="69" xfId="4" applyAlignment="1">
      <alignment horizontal="center" vertical="center"/>
    </xf>
    <xf numFmtId="0" fontId="45" fillId="14" borderId="103" xfId="6" applyAlignment="1">
      <alignment horizontal="center" vertical="center"/>
    </xf>
    <xf numFmtId="4" fontId="43" fillId="3" borderId="84" xfId="5" applyAlignment="1">
      <alignment horizontal="center"/>
    </xf>
    <xf numFmtId="0" fontId="2" fillId="0" borderId="119" xfId="0" applyFont="1" applyBorder="1" applyAlignment="1">
      <alignment horizontal="center"/>
    </xf>
    <xf numFmtId="0" fontId="47" fillId="0" borderId="143" xfId="0" applyFont="1" applyBorder="1" applyAlignment="1">
      <alignment horizontal="center"/>
    </xf>
    <xf numFmtId="0" fontId="47" fillId="0" borderId="135" xfId="0" applyFont="1" applyFill="1" applyBorder="1" applyAlignment="1">
      <alignment horizontal="right"/>
    </xf>
    <xf numFmtId="168" fontId="47" fillId="0" borderId="137" xfId="1" applyNumberFormat="1" applyFont="1" applyFill="1" applyBorder="1" applyAlignment="1">
      <alignment horizontal="center"/>
    </xf>
    <xf numFmtId="0" fontId="47" fillId="0" borderId="138" xfId="0" applyFont="1" applyFill="1" applyBorder="1" applyAlignment="1">
      <alignment horizontal="right"/>
    </xf>
    <xf numFmtId="168" fontId="47" fillId="0" borderId="139" xfId="1" applyNumberFormat="1" applyFont="1" applyFill="1" applyBorder="1" applyAlignment="1">
      <alignment horizontal="center"/>
    </xf>
    <xf numFmtId="0" fontId="47" fillId="0" borderId="140" xfId="0" applyFont="1" applyFill="1" applyBorder="1" applyAlignment="1">
      <alignment horizontal="right"/>
    </xf>
    <xf numFmtId="169" fontId="47" fillId="0" borderId="142" xfId="1" applyNumberFormat="1" applyFont="1" applyFill="1" applyBorder="1" applyAlignment="1">
      <alignment horizontal="center"/>
    </xf>
    <xf numFmtId="170" fontId="47" fillId="0" borderId="139" xfId="2" applyNumberFormat="1" applyFont="1" applyBorder="1" applyAlignment="1">
      <alignment horizontal="center"/>
    </xf>
    <xf numFmtId="170" fontId="47" fillId="0" borderId="142" xfId="2" applyNumberFormat="1" applyFont="1" applyBorder="1" applyAlignment="1">
      <alignment horizontal="center"/>
    </xf>
    <xf numFmtId="0" fontId="46" fillId="0" borderId="137" xfId="0" applyFont="1" applyBorder="1" applyAlignment="1">
      <alignment horizontal="center"/>
    </xf>
    <xf numFmtId="4" fontId="47" fillId="0" borderId="139" xfId="0" applyNumberFormat="1" applyFont="1" applyBorder="1" applyAlignment="1">
      <alignment horizontal="center"/>
    </xf>
    <xf numFmtId="4" fontId="47" fillId="0" borderId="0" xfId="0" applyNumberFormat="1" applyFont="1" applyFill="1" applyBorder="1" applyAlignment="1">
      <alignment horizontal="center"/>
    </xf>
    <xf numFmtId="4" fontId="47" fillId="0" borderId="141" xfId="0" applyNumberFormat="1" applyFont="1" applyFill="1" applyBorder="1" applyAlignment="1">
      <alignment horizontal="center"/>
    </xf>
    <xf numFmtId="4" fontId="18" fillId="0" borderId="0" xfId="0" applyNumberFormat="1" applyFont="1" applyFill="1" applyBorder="1" applyAlignment="1">
      <alignment horizontal="center"/>
    </xf>
    <xf numFmtId="0" fontId="9" fillId="0" borderId="135" xfId="0" applyFont="1" applyBorder="1"/>
    <xf numFmtId="4" fontId="47" fillId="0" borderId="0" xfId="0" applyNumberFormat="1" applyFont="1" applyAlignment="1">
      <alignment horizontal="center"/>
    </xf>
    <xf numFmtId="0" fontId="19" fillId="0" borderId="0" xfId="0" applyFont="1" applyBorder="1" applyAlignment="1">
      <alignment horizontal="center"/>
    </xf>
    <xf numFmtId="0" fontId="35" fillId="12" borderId="0" xfId="0" applyFont="1" applyFill="1" applyBorder="1" applyAlignment="1">
      <alignment horizontal="right"/>
    </xf>
    <xf numFmtId="170" fontId="47" fillId="0" borderId="139" xfId="0" applyNumberFormat="1" applyFont="1" applyBorder="1" applyAlignment="1">
      <alignment horizontal="center"/>
    </xf>
    <xf numFmtId="4" fontId="47" fillId="0" borderId="142" xfId="0" applyNumberFormat="1" applyFont="1" applyBorder="1" applyAlignment="1">
      <alignment horizontal="center"/>
    </xf>
    <xf numFmtId="0" fontId="2" fillId="0" borderId="0" xfId="0" applyFont="1"/>
    <xf numFmtId="0" fontId="18" fillId="0" borderId="0" xfId="0" applyFont="1" applyAlignment="1">
      <alignment horizontal="center" vertical="center"/>
    </xf>
    <xf numFmtId="0" fontId="19" fillId="0" borderId="0" xfId="0" applyFont="1" applyBorder="1" applyAlignment="1">
      <alignment horizontal="center" vertical="center"/>
    </xf>
    <xf numFmtId="0" fontId="46" fillId="0" borderId="0" xfId="0" applyFont="1" applyFill="1" applyBorder="1" applyAlignment="1">
      <alignment horizontal="center"/>
    </xf>
    <xf numFmtId="0" fontId="9" fillId="0" borderId="0" xfId="0" applyFont="1" applyFill="1" applyAlignment="1"/>
    <xf numFmtId="0" fontId="47" fillId="0" borderId="141" xfId="0" applyFont="1" applyBorder="1" applyAlignment="1">
      <alignment horizontal="center"/>
    </xf>
    <xf numFmtId="0" fontId="0" fillId="0" borderId="0" xfId="0" applyBorder="1" applyAlignment="1">
      <alignment horizontal="center" vertical="center"/>
    </xf>
    <xf numFmtId="0" fontId="46" fillId="0" borderId="137" xfId="0" applyFont="1" applyBorder="1" applyAlignment="1">
      <alignment horizontal="center" vertical="center"/>
    </xf>
    <xf numFmtId="0" fontId="46" fillId="0" borderId="138" xfId="0" applyFont="1" applyBorder="1" applyAlignment="1">
      <alignment horizontal="center"/>
    </xf>
    <xf numFmtId="0" fontId="46" fillId="0" borderId="140" xfId="0" applyFont="1" applyBorder="1" applyAlignment="1">
      <alignment horizontal="center"/>
    </xf>
    <xf numFmtId="0" fontId="18" fillId="0" borderId="136" xfId="0" applyFont="1" applyBorder="1"/>
    <xf numFmtId="0" fontId="46" fillId="0" borderId="0" xfId="0" applyFont="1" applyBorder="1" applyAlignment="1">
      <alignment horizontal="center" vertical="center"/>
    </xf>
    <xf numFmtId="0" fontId="46" fillId="0" borderId="144" xfId="2" applyFont="1" applyBorder="1" applyAlignment="1">
      <alignment horizontal="center"/>
    </xf>
    <xf numFmtId="4" fontId="47" fillId="0" borderId="145" xfId="0" applyNumberFormat="1" applyFont="1" applyBorder="1" applyAlignment="1">
      <alignment horizontal="center"/>
    </xf>
    <xf numFmtId="4" fontId="47" fillId="0" borderId="145" xfId="2" applyNumberFormat="1" applyFont="1" applyBorder="1" applyAlignment="1">
      <alignment horizontal="center"/>
    </xf>
    <xf numFmtId="4" fontId="47" fillId="0" borderId="146" xfId="0" applyNumberFormat="1" applyFont="1" applyBorder="1" applyAlignment="1">
      <alignment horizontal="center"/>
    </xf>
    <xf numFmtId="0" fontId="2" fillId="11" borderId="0" xfId="0" applyFont="1" applyFill="1" applyBorder="1" applyAlignment="1">
      <alignment horizontal="left"/>
    </xf>
    <xf numFmtId="0" fontId="9" fillId="11" borderId="0" xfId="0" applyFont="1" applyFill="1" applyAlignment="1">
      <alignment horizontal="left"/>
    </xf>
    <xf numFmtId="0" fontId="46" fillId="0" borderId="138" xfId="0" applyFont="1" applyFill="1" applyBorder="1" applyAlignment="1">
      <alignment horizontal="center"/>
    </xf>
    <xf numFmtId="2" fontId="47" fillId="0" borderId="142" xfId="2" applyNumberFormat="1" applyFont="1" applyFill="1" applyBorder="1" applyAlignment="1">
      <alignment horizontal="center"/>
    </xf>
    <xf numFmtId="0" fontId="9" fillId="0" borderId="0" xfId="0" applyFont="1" applyFill="1" applyBorder="1"/>
    <xf numFmtId="0" fontId="46" fillId="0" borderId="140" xfId="0" applyFont="1" applyFill="1" applyBorder="1" applyAlignment="1">
      <alignment horizontal="center"/>
    </xf>
    <xf numFmtId="0" fontId="47" fillId="0" borderId="141" xfId="0" applyFont="1" applyFill="1" applyBorder="1" applyAlignment="1">
      <alignment horizontal="center"/>
    </xf>
    <xf numFmtId="170" fontId="47" fillId="0" borderId="140" xfId="2" applyNumberFormat="1" applyFont="1" applyBorder="1" applyAlignment="1">
      <alignment horizontal="center"/>
    </xf>
    <xf numFmtId="0" fontId="46" fillId="0" borderId="139" xfId="0" applyFont="1" applyFill="1" applyBorder="1" applyAlignment="1">
      <alignment horizontal="center"/>
    </xf>
    <xf numFmtId="4" fontId="47" fillId="0" borderId="139" xfId="0" applyNumberFormat="1" applyFont="1" applyFill="1" applyBorder="1" applyAlignment="1">
      <alignment horizontal="center"/>
    </xf>
    <xf numFmtId="4" fontId="47" fillId="0" borderId="142" xfId="0" applyNumberFormat="1" applyFont="1" applyFill="1" applyBorder="1" applyAlignment="1">
      <alignment horizontal="center"/>
    </xf>
    <xf numFmtId="0" fontId="47" fillId="0" borderId="0" xfId="0" applyFont="1" applyBorder="1" applyAlignment="1"/>
    <xf numFmtId="2" fontId="47" fillId="0" borderId="139" xfId="0" applyNumberFormat="1" applyFont="1" applyBorder="1" applyAlignment="1">
      <alignment horizontal="center"/>
    </xf>
    <xf numFmtId="2" fontId="47" fillId="0" borderId="141" xfId="0" applyNumberFormat="1" applyFont="1" applyBorder="1" applyAlignment="1">
      <alignment horizontal="center"/>
    </xf>
    <xf numFmtId="0" fontId="9" fillId="0" borderId="147" xfId="0" applyFont="1" applyBorder="1"/>
    <xf numFmtId="0" fontId="46" fillId="0" borderId="148" xfId="0" applyFont="1" applyBorder="1" applyAlignment="1">
      <alignment horizontal="center"/>
    </xf>
    <xf numFmtId="2" fontId="47" fillId="0" borderId="148" xfId="0" applyNumberFormat="1" applyFont="1" applyBorder="1" applyAlignment="1">
      <alignment horizontal="center"/>
    </xf>
    <xf numFmtId="4" fontId="47" fillId="0" borderId="148" xfId="2" applyNumberFormat="1" applyFont="1" applyBorder="1" applyAlignment="1">
      <alignment horizontal="center"/>
    </xf>
    <xf numFmtId="4" fontId="47" fillId="0" borderId="149" xfId="2" applyNumberFormat="1" applyFont="1" applyBorder="1" applyAlignment="1">
      <alignment horizontal="center"/>
    </xf>
    <xf numFmtId="2" fontId="47" fillId="0" borderId="0" xfId="0" applyNumberFormat="1" applyFont="1" applyBorder="1" applyAlignment="1">
      <alignment horizontal="right"/>
    </xf>
    <xf numFmtId="0" fontId="47" fillId="0" borderId="136" xfId="0" applyFont="1" applyBorder="1" applyAlignment="1">
      <alignment horizontal="center"/>
    </xf>
    <xf numFmtId="4" fontId="47" fillId="0" borderId="136" xfId="0" applyNumberFormat="1" applyFont="1" applyBorder="1" applyAlignment="1">
      <alignment horizontal="center"/>
    </xf>
    <xf numFmtId="0" fontId="18" fillId="0" borderId="136" xfId="0" applyFont="1" applyBorder="1" applyAlignment="1">
      <alignment horizontal="right"/>
    </xf>
    <xf numFmtId="4" fontId="18" fillId="0" borderId="136" xfId="0" applyNumberFormat="1" applyFont="1" applyBorder="1" applyAlignment="1">
      <alignment horizontal="center"/>
    </xf>
    <xf numFmtId="4" fontId="2" fillId="0" borderId="151" xfId="1" applyNumberFormat="1" applyFont="1" applyFill="1" applyBorder="1" applyAlignment="1">
      <alignment horizontal="center"/>
    </xf>
    <xf numFmtId="164" fontId="38" fillId="2" borderId="52" xfId="0" applyNumberFormat="1" applyFont="1" applyFill="1" applyBorder="1" applyAlignment="1">
      <alignment horizontal="center" vertical="center"/>
    </xf>
    <xf numFmtId="39" fontId="2" fillId="0" borderId="5" xfId="1" applyNumberFormat="1" applyFont="1" applyFill="1" applyBorder="1" applyAlignment="1">
      <alignment horizontal="center" vertical="center"/>
    </xf>
    <xf numFmtId="39" fontId="2" fillId="0" borderId="6" xfId="1" applyNumberFormat="1" applyFont="1" applyFill="1" applyBorder="1" applyAlignment="1">
      <alignment horizontal="center" vertical="center"/>
    </xf>
    <xf numFmtId="39" fontId="2" fillId="0" borderId="11" xfId="1" applyNumberFormat="1" applyFont="1" applyFill="1" applyBorder="1" applyAlignment="1">
      <alignment horizontal="center" vertical="center"/>
    </xf>
    <xf numFmtId="39" fontId="2" fillId="0" borderId="12" xfId="1" applyNumberFormat="1" applyFont="1" applyFill="1" applyBorder="1" applyAlignment="1">
      <alignment horizontal="center" vertical="center"/>
    </xf>
    <xf numFmtId="4" fontId="2" fillId="0" borderId="35" xfId="1" applyNumberFormat="1" applyFont="1" applyFill="1" applyBorder="1" applyAlignment="1">
      <alignment horizontal="center"/>
    </xf>
    <xf numFmtId="4" fontId="2" fillId="0" borderId="26" xfId="1" applyNumberFormat="1" applyFont="1" applyFill="1" applyBorder="1" applyAlignment="1">
      <alignment horizontal="center"/>
    </xf>
    <xf numFmtId="4" fontId="47" fillId="0" borderId="0" xfId="0" applyNumberFormat="1" applyFont="1" applyBorder="1"/>
    <xf numFmtId="169" fontId="2" fillId="0" borderId="65" xfId="0" applyNumberFormat="1" applyFont="1" applyBorder="1" applyAlignment="1">
      <alignment horizontal="center"/>
    </xf>
    <xf numFmtId="169" fontId="2" fillId="0" borderId="24" xfId="1" applyNumberFormat="1" applyFont="1" applyBorder="1" applyAlignment="1">
      <alignment horizontal="center"/>
    </xf>
    <xf numFmtId="169" fontId="2" fillId="0" borderId="65" xfId="1" applyNumberFormat="1" applyFont="1" applyBorder="1" applyAlignment="1">
      <alignment horizontal="center"/>
    </xf>
    <xf numFmtId="3" fontId="38" fillId="15" borderId="28" xfId="1" applyNumberFormat="1" applyFont="1" applyFill="1" applyBorder="1" applyAlignment="1">
      <alignment horizontal="center"/>
    </xf>
    <xf numFmtId="3" fontId="2" fillId="0" borderId="66" xfId="0" applyNumberFormat="1" applyFont="1" applyBorder="1" applyAlignment="1">
      <alignment horizontal="center"/>
    </xf>
    <xf numFmtId="169" fontId="2" fillId="0" borderId="81" xfId="0" applyNumberFormat="1" applyFont="1" applyBorder="1" applyAlignment="1">
      <alignment horizontal="center"/>
    </xf>
    <xf numFmtId="169" fontId="2" fillId="0" borderId="36" xfId="0" applyNumberFormat="1" applyFont="1" applyBorder="1" applyAlignment="1">
      <alignment horizontal="center"/>
    </xf>
    <xf numFmtId="169" fontId="2" fillId="0" borderId="24" xfId="0" applyNumberFormat="1" applyFont="1" applyBorder="1" applyAlignment="1">
      <alignment horizontal="center"/>
    </xf>
    <xf numFmtId="3" fontId="2" fillId="0" borderId="34" xfId="0" applyNumberFormat="1" applyFont="1" applyBorder="1" applyAlignment="1">
      <alignment horizontal="center"/>
    </xf>
    <xf numFmtId="37" fontId="38" fillId="15" borderId="69" xfId="1" applyNumberFormat="1" applyFont="1" applyFill="1" applyBorder="1" applyAlignment="1">
      <alignment horizontal="center"/>
    </xf>
    <xf numFmtId="0" fontId="9" fillId="0" borderId="136" xfId="0" applyFont="1" applyFill="1" applyBorder="1"/>
    <xf numFmtId="0" fontId="9" fillId="0" borderId="138" xfId="0" applyFont="1" applyFill="1" applyBorder="1"/>
    <xf numFmtId="0" fontId="2" fillId="0" borderId="138" xfId="2" applyFill="1" applyBorder="1"/>
    <xf numFmtId="0" fontId="46" fillId="0" borderId="138" xfId="2" applyFont="1" applyFill="1" applyBorder="1" applyAlignment="1">
      <alignment horizontal="center"/>
    </xf>
    <xf numFmtId="3" fontId="57" fillId="16" borderId="118" xfId="1" applyNumberFormat="1" applyFont="1" applyFill="1" applyBorder="1" applyAlignment="1">
      <alignment horizontal="center"/>
    </xf>
    <xf numFmtId="164" fontId="57" fillId="16" borderId="57" xfId="0" applyNumberFormat="1" applyFont="1" applyFill="1" applyBorder="1" applyAlignment="1">
      <alignment horizontal="center"/>
    </xf>
    <xf numFmtId="164" fontId="38" fillId="2" borderId="58" xfId="0" applyNumberFormat="1" applyFont="1" applyFill="1" applyBorder="1" applyAlignment="1">
      <alignment horizontal="center"/>
    </xf>
    <xf numFmtId="0" fontId="38" fillId="10" borderId="15" xfId="4" applyBorder="1">
      <alignment horizontal="center" vertical="center"/>
    </xf>
    <xf numFmtId="0" fontId="38" fillId="10" borderId="48" xfId="4" applyBorder="1">
      <alignment horizontal="center" vertical="center"/>
    </xf>
    <xf numFmtId="0" fontId="38" fillId="10" borderId="111" xfId="4" applyBorder="1">
      <alignment horizontal="center" vertical="center"/>
    </xf>
    <xf numFmtId="164" fontId="38" fillId="2" borderId="26" xfId="0" applyNumberFormat="1" applyFont="1" applyFill="1" applyBorder="1" applyAlignment="1">
      <alignment horizontal="center"/>
    </xf>
    <xf numFmtId="0" fontId="18" fillId="11" borderId="0" xfId="0" applyFont="1" applyFill="1"/>
    <xf numFmtId="37" fontId="38" fillId="15" borderId="18" xfId="1" applyNumberFormat="1" applyFont="1" applyFill="1" applyBorder="1" applyAlignment="1">
      <alignment horizontal="center"/>
    </xf>
    <xf numFmtId="164" fontId="38" fillId="2" borderId="162" xfId="0" applyNumberFormat="1" applyFont="1" applyFill="1" applyBorder="1" applyAlignment="1">
      <alignment horizontal="center"/>
    </xf>
    <xf numFmtId="0" fontId="2" fillId="0" borderId="0" xfId="0" applyFont="1"/>
    <xf numFmtId="0" fontId="45" fillId="14" borderId="164" xfId="6" applyBorder="1">
      <alignment horizontal="center" vertical="center"/>
    </xf>
    <xf numFmtId="0" fontId="45" fillId="14" borderId="165" xfId="6" applyBorder="1">
      <alignment horizontal="center" vertical="center"/>
    </xf>
    <xf numFmtId="0" fontId="45" fillId="14" borderId="166" xfId="6" applyBorder="1">
      <alignment horizontal="center" vertical="center"/>
    </xf>
    <xf numFmtId="1" fontId="2" fillId="0" borderId="167" xfId="0" applyNumberFormat="1" applyFont="1" applyFill="1" applyBorder="1" applyAlignment="1">
      <alignment horizontal="center"/>
    </xf>
    <xf numFmtId="1" fontId="2" fillId="0" borderId="168" xfId="0" applyNumberFormat="1" applyFont="1" applyFill="1" applyBorder="1" applyAlignment="1">
      <alignment horizontal="center"/>
    </xf>
    <xf numFmtId="1" fontId="2" fillId="0" borderId="169" xfId="0" applyNumberFormat="1" applyFont="1" applyFill="1" applyBorder="1" applyAlignment="1">
      <alignment horizontal="center"/>
    </xf>
    <xf numFmtId="0" fontId="52" fillId="2" borderId="0" xfId="7" applyFill="1"/>
    <xf numFmtId="0" fontId="0" fillId="2" borderId="0" xfId="0" applyFill="1" applyAlignment="1">
      <alignment horizontal="center"/>
    </xf>
    <xf numFmtId="0" fontId="0" fillId="2" borderId="0" xfId="0" applyFill="1"/>
    <xf numFmtId="0" fontId="35" fillId="0" borderId="0" xfId="0" applyFont="1" applyBorder="1" applyAlignment="1">
      <alignment horizontal="left"/>
    </xf>
    <xf numFmtId="0" fontId="35" fillId="0" borderId="138" xfId="0" applyFont="1" applyBorder="1" applyAlignment="1">
      <alignment horizontal="right"/>
    </xf>
    <xf numFmtId="39" fontId="47" fillId="0" borderId="0" xfId="0" applyNumberFormat="1" applyFont="1" applyBorder="1" applyAlignment="1">
      <alignment horizontal="center"/>
    </xf>
    <xf numFmtId="167" fontId="2" fillId="0" borderId="8" xfId="1" applyNumberFormat="1" applyFont="1" applyBorder="1" applyAlignment="1">
      <alignment horizontal="center"/>
    </xf>
    <xf numFmtId="37" fontId="2" fillId="0" borderId="8" xfId="1" applyNumberFormat="1" applyFont="1" applyBorder="1" applyAlignment="1">
      <alignment horizontal="center"/>
    </xf>
    <xf numFmtId="167" fontId="2" fillId="0" borderId="7" xfId="1" applyNumberFormat="1" applyFont="1" applyBorder="1" applyAlignment="1">
      <alignment horizontal="center"/>
    </xf>
    <xf numFmtId="49" fontId="38" fillId="2" borderId="58" xfId="0" applyNumberFormat="1" applyFont="1" applyFill="1" applyBorder="1" applyAlignment="1">
      <alignment horizontal="center"/>
    </xf>
    <xf numFmtId="49" fontId="38" fillId="2" borderId="80" xfId="0" applyNumberFormat="1" applyFont="1" applyFill="1" applyBorder="1" applyAlignment="1">
      <alignment horizontal="center"/>
    </xf>
    <xf numFmtId="37" fontId="2" fillId="0" borderId="24" xfId="1" applyNumberFormat="1" applyFont="1" applyBorder="1" applyAlignment="1">
      <alignment horizontal="center"/>
    </xf>
    <xf numFmtId="167" fontId="2" fillId="0" borderId="24" xfId="1" applyNumberFormat="1" applyFont="1" applyBorder="1" applyAlignment="1">
      <alignment horizontal="center"/>
    </xf>
    <xf numFmtId="3" fontId="2" fillId="0" borderId="34" xfId="1" applyNumberFormat="1" applyFont="1" applyBorder="1" applyAlignment="1">
      <alignment horizontal="center"/>
    </xf>
    <xf numFmtId="3" fontId="38" fillId="15" borderId="118" xfId="1" applyNumberFormat="1" applyFont="1" applyFill="1" applyBorder="1" applyAlignment="1">
      <alignment horizontal="center"/>
    </xf>
    <xf numFmtId="3" fontId="2" fillId="0" borderId="9" xfId="1" applyNumberFormat="1" applyFont="1" applyBorder="1" applyAlignment="1">
      <alignment horizontal="center"/>
    </xf>
    <xf numFmtId="3" fontId="2" fillId="0" borderId="117" xfId="1" applyNumberFormat="1" applyFont="1" applyBorder="1" applyAlignment="1">
      <alignment horizontal="center"/>
    </xf>
    <xf numFmtId="3" fontId="38" fillId="15" borderId="171" xfId="1" applyNumberFormat="1" applyFont="1" applyFill="1" applyBorder="1" applyAlignment="1">
      <alignment horizontal="center"/>
    </xf>
    <xf numFmtId="2" fontId="2" fillId="0" borderId="37" xfId="1" applyNumberFormat="1" applyFont="1" applyFill="1" applyBorder="1" applyAlignment="1">
      <alignment horizontal="center"/>
    </xf>
    <xf numFmtId="4" fontId="2" fillId="0" borderId="64" xfId="0" applyNumberFormat="1" applyFont="1" applyBorder="1" applyAlignment="1">
      <alignment horizontal="center"/>
    </xf>
    <xf numFmtId="3" fontId="38" fillId="15" borderId="66" xfId="1" applyNumberFormat="1" applyFont="1" applyFill="1" applyBorder="1" applyAlignment="1">
      <alignment horizontal="center"/>
    </xf>
    <xf numFmtId="4" fontId="2" fillId="0" borderId="65" xfId="1" applyNumberFormat="1" applyFont="1" applyFill="1" applyBorder="1" applyAlignment="1">
      <alignment horizontal="center"/>
    </xf>
    <xf numFmtId="0" fontId="38" fillId="2" borderId="77" xfId="0" applyFont="1" applyFill="1" applyBorder="1" applyAlignment="1">
      <alignment horizontal="center" vertical="center"/>
    </xf>
    <xf numFmtId="4" fontId="2" fillId="0" borderId="13" xfId="1" applyNumberFormat="1" applyFont="1" applyBorder="1" applyAlignment="1">
      <alignment horizontal="center"/>
    </xf>
    <xf numFmtId="3" fontId="38" fillId="15" borderId="6" xfId="1" applyNumberFormat="1" applyFont="1" applyFill="1" applyBorder="1" applyAlignment="1">
      <alignment horizontal="center"/>
    </xf>
    <xf numFmtId="4" fontId="2" fillId="0" borderId="5" xfId="1" applyNumberFormat="1" applyFont="1" applyFill="1" applyBorder="1" applyAlignment="1">
      <alignment horizontal="center"/>
    </xf>
    <xf numFmtId="4" fontId="57" fillId="16" borderId="118" xfId="1" applyNumberFormat="1" applyFont="1" applyFill="1" applyBorder="1" applyAlignment="1">
      <alignment horizontal="center"/>
    </xf>
    <xf numFmtId="164" fontId="2" fillId="0" borderId="15" xfId="0" applyNumberFormat="1" applyFont="1" applyBorder="1" applyAlignment="1">
      <alignment horizontal="center"/>
    </xf>
    <xf numFmtId="0" fontId="38" fillId="2" borderId="6" xfId="0" applyFont="1" applyFill="1" applyBorder="1" applyAlignment="1">
      <alignment horizontal="center"/>
    </xf>
    <xf numFmtId="164" fontId="2" fillId="0" borderId="14" xfId="0" applyNumberFormat="1" applyFont="1" applyBorder="1" applyAlignment="1">
      <alignment horizontal="center"/>
    </xf>
    <xf numFmtId="164" fontId="2" fillId="0" borderId="32" xfId="0" applyNumberFormat="1" applyFont="1" applyBorder="1" applyAlignment="1">
      <alignment horizontal="center"/>
    </xf>
    <xf numFmtId="3" fontId="38" fillId="15" borderId="175" xfId="1" applyNumberFormat="1" applyFont="1" applyFill="1" applyBorder="1" applyAlignment="1">
      <alignment horizontal="center"/>
    </xf>
    <xf numFmtId="3" fontId="38" fillId="15" borderId="176" xfId="1" applyNumberFormat="1" applyFont="1" applyFill="1" applyBorder="1" applyAlignment="1">
      <alignment horizontal="center"/>
    </xf>
    <xf numFmtId="3" fontId="3" fillId="0" borderId="21" xfId="0" applyNumberFormat="1" applyFont="1" applyBorder="1" applyAlignment="1">
      <alignment horizontal="center"/>
    </xf>
    <xf numFmtId="3" fontId="3" fillId="0" borderId="22" xfId="0" applyNumberFormat="1" applyFont="1" applyBorder="1" applyAlignment="1">
      <alignment horizontal="center"/>
    </xf>
    <xf numFmtId="3" fontId="3" fillId="0" borderId="22" xfId="1" applyNumberFormat="1" applyFont="1" applyFill="1" applyBorder="1" applyAlignment="1">
      <alignment horizontal="center"/>
    </xf>
    <xf numFmtId="3" fontId="3" fillId="0" borderId="163" xfId="1" applyNumberFormat="1" applyFont="1" applyFill="1" applyBorder="1" applyAlignment="1">
      <alignment horizontal="center"/>
    </xf>
    <xf numFmtId="37" fontId="3" fillId="0" borderId="77" xfId="0" applyNumberFormat="1" applyFont="1" applyBorder="1" applyAlignment="1">
      <alignment horizontal="center"/>
    </xf>
    <xf numFmtId="37" fontId="3" fillId="0" borderId="59" xfId="0" applyNumberFormat="1" applyFont="1" applyBorder="1" applyAlignment="1">
      <alignment horizontal="center"/>
    </xf>
    <xf numFmtId="37" fontId="3" fillId="0" borderId="58" xfId="1" applyNumberFormat="1" applyFont="1" applyFill="1" applyBorder="1" applyAlignment="1">
      <alignment horizontal="center"/>
    </xf>
    <xf numFmtId="37" fontId="3" fillId="0" borderId="162" xfId="1" applyNumberFormat="1" applyFont="1" applyFill="1" applyBorder="1" applyAlignment="1">
      <alignment horizontal="center"/>
    </xf>
    <xf numFmtId="4" fontId="47" fillId="0" borderId="155" xfId="0" applyNumberFormat="1" applyFont="1" applyBorder="1" applyAlignment="1">
      <alignment horizontal="center"/>
    </xf>
    <xf numFmtId="4" fontId="47" fillId="0" borderId="143" xfId="0" applyNumberFormat="1" applyFont="1" applyBorder="1" applyAlignment="1">
      <alignment horizontal="center"/>
    </xf>
    <xf numFmtId="164" fontId="57" fillId="16" borderId="173" xfId="0" applyNumberFormat="1" applyFont="1" applyFill="1" applyBorder="1" applyAlignment="1">
      <alignment horizontal="center"/>
    </xf>
    <xf numFmtId="4" fontId="57" fillId="16" borderId="174" xfId="1" applyNumberFormat="1" applyFont="1" applyFill="1" applyBorder="1" applyAlignment="1">
      <alignment horizontal="center"/>
    </xf>
    <xf numFmtId="3" fontId="38" fillId="15" borderId="177" xfId="1" applyNumberFormat="1" applyFont="1" applyFill="1" applyBorder="1" applyAlignment="1">
      <alignment horizontal="center"/>
    </xf>
    <xf numFmtId="171" fontId="2" fillId="11" borderId="0" xfId="0" applyNumberFormat="1" applyFont="1" applyFill="1" applyAlignment="1">
      <alignment horizontal="left"/>
    </xf>
    <xf numFmtId="174" fontId="2" fillId="11" borderId="0" xfId="0" applyNumberFormat="1" applyFont="1" applyFill="1" applyAlignment="1">
      <alignment horizontal="left"/>
    </xf>
    <xf numFmtId="172" fontId="2" fillId="11" borderId="0" xfId="0" applyNumberFormat="1" applyFont="1" applyFill="1" applyAlignment="1">
      <alignment horizontal="left"/>
    </xf>
    <xf numFmtId="175" fontId="2" fillId="11" borderId="0" xfId="0" applyNumberFormat="1" applyFont="1" applyFill="1" applyAlignment="1">
      <alignment horizontal="left"/>
    </xf>
    <xf numFmtId="173" fontId="2" fillId="11" borderId="0" xfId="0" applyNumberFormat="1" applyFont="1" applyFill="1" applyAlignment="1">
      <alignment horizontal="left"/>
    </xf>
    <xf numFmtId="176" fontId="2" fillId="11" borderId="0" xfId="0" applyNumberFormat="1" applyFont="1" applyFill="1" applyAlignment="1">
      <alignment horizontal="left"/>
    </xf>
    <xf numFmtId="0" fontId="45" fillId="14" borderId="178" xfId="6" applyBorder="1">
      <alignment horizontal="center" vertical="center"/>
    </xf>
    <xf numFmtId="0" fontId="38" fillId="10" borderId="40" xfId="4" applyFont="1" applyBorder="1">
      <alignment horizontal="center" vertical="center"/>
    </xf>
    <xf numFmtId="0" fontId="45" fillId="14" borderId="179" xfId="6" applyBorder="1">
      <alignment horizontal="center" vertical="center"/>
    </xf>
    <xf numFmtId="0" fontId="0" fillId="0" borderId="180" xfId="0" applyBorder="1" applyAlignment="1">
      <alignment horizontal="center"/>
    </xf>
    <xf numFmtId="0" fontId="45" fillId="14" borderId="156" xfId="6" applyBorder="1">
      <alignment horizontal="center" vertical="center"/>
    </xf>
    <xf numFmtId="4" fontId="46" fillId="0" borderId="0" xfId="2" applyNumberFormat="1" applyFont="1" applyBorder="1" applyAlignment="1">
      <alignment horizontal="center"/>
    </xf>
    <xf numFmtId="177" fontId="47" fillId="0" borderId="0" xfId="0" applyNumberFormat="1" applyFont="1" applyBorder="1" applyAlignment="1">
      <alignment horizontal="left"/>
    </xf>
    <xf numFmtId="4" fontId="47" fillId="0" borderId="0" xfId="0" applyNumberFormat="1" applyFont="1" applyBorder="1" applyAlignment="1">
      <alignment horizontal="right"/>
    </xf>
    <xf numFmtId="4" fontId="47" fillId="0" borderId="0" xfId="0" applyNumberFormat="1" applyFont="1" applyBorder="1" applyAlignment="1">
      <alignment horizontal="left"/>
    </xf>
    <xf numFmtId="3" fontId="47" fillId="0" borderId="138" xfId="0" applyNumberFormat="1" applyFont="1" applyBorder="1" applyAlignment="1">
      <alignment horizontal="center"/>
    </xf>
    <xf numFmtId="167" fontId="2" fillId="0" borderId="65" xfId="1" applyNumberFormat="1" applyFont="1" applyBorder="1" applyAlignment="1">
      <alignment horizontal="center"/>
    </xf>
    <xf numFmtId="4" fontId="46" fillId="0" borderId="141" xfId="0" applyNumberFormat="1" applyFont="1" applyBorder="1" applyAlignment="1">
      <alignment horizontal="center"/>
    </xf>
    <xf numFmtId="4" fontId="46" fillId="0" borderId="142" xfId="2" applyNumberFormat="1" applyFont="1" applyBorder="1" applyAlignment="1">
      <alignment horizontal="center"/>
    </xf>
    <xf numFmtId="4" fontId="46" fillId="0" borderId="138" xfId="0" applyNumberFormat="1" applyFont="1" applyBorder="1" applyAlignment="1">
      <alignment horizontal="center"/>
    </xf>
    <xf numFmtId="4" fontId="46" fillId="0" borderId="139" xfId="2" applyNumberFormat="1" applyFont="1" applyBorder="1" applyAlignment="1">
      <alignment horizontal="center"/>
    </xf>
    <xf numFmtId="0" fontId="45" fillId="14" borderId="181" xfId="6" applyBorder="1">
      <alignment horizontal="center" vertical="center"/>
    </xf>
    <xf numFmtId="49" fontId="38" fillId="2" borderId="26" xfId="0" applyNumberFormat="1" applyFont="1" applyFill="1" applyBorder="1" applyAlignment="1">
      <alignment horizontal="center"/>
    </xf>
    <xf numFmtId="49" fontId="38" fillId="2" borderId="69" xfId="0" applyNumberFormat="1" applyFont="1" applyFill="1" applyBorder="1" applyAlignment="1">
      <alignment horizontal="center"/>
    </xf>
    <xf numFmtId="3" fontId="38" fillId="15" borderId="182" xfId="1" applyNumberFormat="1" applyFont="1" applyFill="1" applyBorder="1" applyAlignment="1">
      <alignment horizontal="center"/>
    </xf>
    <xf numFmtId="3" fontId="38" fillId="15" borderId="183" xfId="1" applyNumberFormat="1" applyFont="1" applyFill="1" applyBorder="1" applyAlignment="1">
      <alignment horizontal="center"/>
    </xf>
    <xf numFmtId="3" fontId="38" fillId="15" borderId="184" xfId="1" applyNumberFormat="1" applyFont="1" applyFill="1" applyBorder="1" applyAlignment="1">
      <alignment horizontal="center"/>
    </xf>
    <xf numFmtId="3" fontId="38" fillId="15" borderId="185" xfId="1" applyNumberFormat="1" applyFont="1" applyFill="1" applyBorder="1" applyAlignment="1">
      <alignment horizontal="center"/>
    </xf>
    <xf numFmtId="3" fontId="38" fillId="15" borderId="186" xfId="1" applyNumberFormat="1" applyFont="1" applyFill="1" applyBorder="1" applyAlignment="1">
      <alignment horizontal="center"/>
    </xf>
    <xf numFmtId="3" fontId="38" fillId="15" borderId="187" xfId="1" applyNumberFormat="1" applyFont="1" applyFill="1" applyBorder="1" applyAlignment="1">
      <alignment horizontal="center"/>
    </xf>
    <xf numFmtId="49" fontId="38" fillId="2" borderId="50" xfId="0" applyNumberFormat="1" applyFont="1" applyFill="1" applyBorder="1" applyAlignment="1">
      <alignment horizontal="center"/>
    </xf>
    <xf numFmtId="0" fontId="38" fillId="10" borderId="50" xfId="4" applyFont="1" applyBorder="1">
      <alignment horizontal="center" vertical="center"/>
    </xf>
    <xf numFmtId="0" fontId="45" fillId="14" borderId="188" xfId="6" applyBorder="1">
      <alignment horizontal="center" vertical="center"/>
    </xf>
    <xf numFmtId="0" fontId="45" fillId="14" borderId="189" xfId="6" applyBorder="1">
      <alignment horizontal="center" vertical="center"/>
    </xf>
    <xf numFmtId="0" fontId="45" fillId="14" borderId="190" xfId="6" applyBorder="1">
      <alignment horizontal="center" vertical="center"/>
    </xf>
    <xf numFmtId="169" fontId="43" fillId="3" borderId="191" xfId="5" applyNumberFormat="1" applyBorder="1">
      <alignment horizontal="center"/>
    </xf>
    <xf numFmtId="169" fontId="43" fillId="3" borderId="192" xfId="5" applyNumberFormat="1" applyBorder="1">
      <alignment horizontal="center"/>
    </xf>
    <xf numFmtId="169" fontId="43" fillId="3" borderId="193" xfId="5" applyNumberFormat="1" applyBorder="1">
      <alignment horizontal="center"/>
    </xf>
    <xf numFmtId="3" fontId="47" fillId="0" borderId="153" xfId="0" applyNumberFormat="1" applyFont="1" applyBorder="1" applyAlignment="1">
      <alignment horizontal="center"/>
    </xf>
    <xf numFmtId="3" fontId="47" fillId="0" borderId="154" xfId="0" applyNumberFormat="1" applyFont="1" applyBorder="1" applyAlignment="1">
      <alignment horizontal="center"/>
    </xf>
    <xf numFmtId="3" fontId="47" fillId="0" borderId="155" xfId="0" applyNumberFormat="1" applyFont="1" applyBorder="1" applyAlignment="1">
      <alignment horizontal="center"/>
    </xf>
    <xf numFmtId="3" fontId="47" fillId="0" borderId="194" xfId="0" applyNumberFormat="1" applyFont="1" applyBorder="1" applyAlignment="1">
      <alignment horizontal="center"/>
    </xf>
    <xf numFmtId="43" fontId="18" fillId="0" borderId="0" xfId="1" applyFont="1" applyFill="1" applyAlignment="1">
      <alignment horizontal="right"/>
    </xf>
    <xf numFmtId="39" fontId="18" fillId="0" borderId="0" xfId="1" applyNumberFormat="1" applyFont="1" applyFill="1" applyAlignment="1"/>
    <xf numFmtId="43" fontId="18" fillId="0" borderId="0" xfId="1" applyNumberFormat="1" applyFont="1" applyFill="1" applyAlignment="1"/>
    <xf numFmtId="2" fontId="18" fillId="0" borderId="0" xfId="0" applyNumberFormat="1" applyFont="1" applyFill="1" applyAlignment="1"/>
    <xf numFmtId="3" fontId="43" fillId="3" borderId="84" xfId="5" applyNumberFormat="1" applyBorder="1">
      <alignment horizontal="center"/>
    </xf>
    <xf numFmtId="0" fontId="38" fillId="10" borderId="55" xfId="4" applyFont="1" applyBorder="1">
      <alignment horizontal="center" vertical="center"/>
    </xf>
    <xf numFmtId="3" fontId="43" fillId="3" borderId="195" xfId="5" applyNumberFormat="1" applyBorder="1">
      <alignment horizontal="center"/>
    </xf>
    <xf numFmtId="3" fontId="43" fillId="3" borderId="196" xfId="5" applyNumberFormat="1" applyBorder="1">
      <alignment horizontal="center"/>
    </xf>
    <xf numFmtId="3" fontId="43" fillId="3" borderId="197" xfId="5" applyNumberFormat="1" applyBorder="1">
      <alignment horizontal="center"/>
    </xf>
    <xf numFmtId="164" fontId="18" fillId="0" borderId="0" xfId="0" applyNumberFormat="1" applyFont="1" applyFill="1" applyBorder="1" applyAlignment="1">
      <alignment horizontal="center"/>
    </xf>
    <xf numFmtId="0" fontId="38" fillId="2" borderId="13" xfId="0" applyFont="1" applyFill="1" applyBorder="1" applyAlignment="1">
      <alignment horizontal="center"/>
    </xf>
    <xf numFmtId="0" fontId="38" fillId="2" borderId="5" xfId="0" applyFont="1" applyFill="1" applyBorder="1" applyAlignment="1">
      <alignment horizontal="center"/>
    </xf>
    <xf numFmtId="3" fontId="38" fillId="15" borderId="27" xfId="1" applyNumberFormat="1" applyFont="1" applyFill="1" applyBorder="1" applyAlignment="1">
      <alignment horizontal="center"/>
    </xf>
    <xf numFmtId="169" fontId="2" fillId="0" borderId="5" xfId="4" applyNumberFormat="1" applyFont="1" applyFill="1" applyBorder="1">
      <alignment horizontal="center" vertical="center"/>
    </xf>
    <xf numFmtId="3" fontId="2" fillId="0" borderId="5" xfId="4" applyNumberFormat="1" applyFont="1" applyFill="1" applyBorder="1">
      <alignment horizontal="center" vertical="center"/>
    </xf>
    <xf numFmtId="169" fontId="2" fillId="0" borderId="8" xfId="4" applyNumberFormat="1" applyFont="1" applyFill="1" applyBorder="1">
      <alignment horizontal="center" vertical="center"/>
    </xf>
    <xf numFmtId="3" fontId="2" fillId="0" borderId="8" xfId="4" applyNumberFormat="1" applyFont="1" applyFill="1" applyBorder="1">
      <alignment horizontal="center" vertical="center"/>
    </xf>
    <xf numFmtId="0" fontId="38" fillId="2" borderId="21" xfId="0" applyFont="1" applyFill="1" applyBorder="1" applyAlignment="1">
      <alignment horizontal="center"/>
    </xf>
    <xf numFmtId="3" fontId="38" fillId="15" borderId="9" xfId="1" applyNumberFormat="1" applyFont="1" applyFill="1" applyBorder="1" applyAlignment="1">
      <alignment horizontal="center"/>
    </xf>
    <xf numFmtId="3" fontId="38" fillId="15" borderId="12" xfId="1" applyNumberFormat="1" applyFont="1" applyFill="1" applyBorder="1" applyAlignment="1">
      <alignment horizontal="center"/>
    </xf>
    <xf numFmtId="3" fontId="2" fillId="0" borderId="0" xfId="0" applyNumberFormat="1" applyFont="1" applyAlignment="1">
      <alignment horizontal="center"/>
    </xf>
    <xf numFmtId="4" fontId="43" fillId="3" borderId="100" xfId="5" applyBorder="1">
      <alignment horizontal="center"/>
    </xf>
    <xf numFmtId="4" fontId="43" fillId="3" borderId="101" xfId="5" applyBorder="1">
      <alignment horizontal="center"/>
    </xf>
    <xf numFmtId="3" fontId="38" fillId="15" borderId="8" xfId="1" applyNumberFormat="1" applyFont="1" applyFill="1" applyBorder="1" applyAlignment="1">
      <alignment horizontal="center"/>
    </xf>
    <xf numFmtId="3" fontId="38" fillId="15" borderId="11" xfId="1" applyNumberFormat="1" applyFont="1" applyFill="1" applyBorder="1" applyAlignment="1">
      <alignment horizontal="center"/>
    </xf>
    <xf numFmtId="49" fontId="38" fillId="2" borderId="40" xfId="0" applyNumberFormat="1" applyFont="1" applyFill="1" applyBorder="1" applyAlignment="1">
      <alignment horizontal="center"/>
    </xf>
    <xf numFmtId="0" fontId="3" fillId="11" borderId="0" xfId="0" applyFont="1" applyFill="1"/>
    <xf numFmtId="0" fontId="46" fillId="0" borderId="0" xfId="2" applyFont="1" applyFill="1" applyBorder="1" applyAlignment="1">
      <alignment horizontal="right"/>
    </xf>
    <xf numFmtId="4" fontId="47" fillId="0" borderId="139" xfId="2" applyNumberFormat="1" applyFont="1" applyFill="1" applyBorder="1" applyAlignment="1">
      <alignment horizontal="center"/>
    </xf>
    <xf numFmtId="4" fontId="47" fillId="0" borderId="142" xfId="2" applyNumberFormat="1" applyFont="1" applyFill="1" applyBorder="1" applyAlignment="1">
      <alignment horizontal="center"/>
    </xf>
    <xf numFmtId="0" fontId="46" fillId="0" borderId="140" xfId="2" applyFont="1" applyFill="1" applyBorder="1" applyAlignment="1">
      <alignment horizontal="center"/>
    </xf>
    <xf numFmtId="169" fontId="43" fillId="3" borderId="87" xfId="5" applyNumberFormat="1" applyBorder="1">
      <alignment horizontal="center"/>
    </xf>
    <xf numFmtId="169" fontId="43" fillId="3" borderId="90" xfId="5" applyNumberFormat="1" applyBorder="1">
      <alignment horizontal="center"/>
    </xf>
    <xf numFmtId="169" fontId="43" fillId="3" borderId="93" xfId="5" applyNumberFormat="1" applyBorder="1">
      <alignment horizontal="center"/>
    </xf>
    <xf numFmtId="169" fontId="43" fillId="3" borderId="98" xfId="5" applyNumberFormat="1" applyBorder="1">
      <alignment horizontal="center"/>
    </xf>
    <xf numFmtId="169" fontId="2" fillId="0" borderId="15" xfId="1" applyNumberFormat="1" applyFont="1" applyFill="1" applyBorder="1" applyAlignment="1">
      <alignment horizontal="center"/>
    </xf>
    <xf numFmtId="169" fontId="2" fillId="0" borderId="11" xfId="1" applyNumberFormat="1" applyFont="1" applyFill="1" applyBorder="1" applyAlignment="1">
      <alignment horizontal="center"/>
    </xf>
    <xf numFmtId="169" fontId="2" fillId="0" borderId="12" xfId="0" applyNumberFormat="1" applyFont="1" applyBorder="1" applyAlignment="1">
      <alignment horizontal="center"/>
    </xf>
    <xf numFmtId="169" fontId="2" fillId="0" borderId="11" xfId="0" applyNumberFormat="1" applyFont="1" applyBorder="1" applyAlignment="1">
      <alignment horizontal="center"/>
    </xf>
    <xf numFmtId="169" fontId="2" fillId="0" borderId="23" xfId="0" applyNumberFormat="1" applyFont="1" applyBorder="1" applyAlignment="1">
      <alignment horizontal="center"/>
    </xf>
    <xf numFmtId="169" fontId="2" fillId="0" borderId="11" xfId="4" applyNumberFormat="1" applyFont="1" applyFill="1" applyBorder="1">
      <alignment horizontal="center" vertical="center"/>
    </xf>
    <xf numFmtId="3" fontId="2" fillId="0" borderId="11" xfId="4" applyNumberFormat="1" applyFont="1" applyFill="1" applyBorder="1">
      <alignment horizontal="center" vertical="center"/>
    </xf>
    <xf numFmtId="4" fontId="43" fillId="3" borderId="193" xfId="5" applyBorder="1">
      <alignment horizontal="center"/>
    </xf>
    <xf numFmtId="3" fontId="38" fillId="15" borderId="5" xfId="1" applyNumberFormat="1" applyFont="1" applyFill="1" applyBorder="1" applyAlignment="1">
      <alignment horizontal="center"/>
    </xf>
    <xf numFmtId="0" fontId="47" fillId="0" borderId="137" xfId="0" applyFont="1" applyBorder="1" applyAlignment="1">
      <alignment horizontal="center"/>
    </xf>
    <xf numFmtId="4" fontId="2" fillId="0" borderId="27" xfId="1" applyNumberFormat="1" applyFont="1" applyBorder="1" applyAlignment="1">
      <alignment horizontal="center"/>
    </xf>
    <xf numFmtId="169" fontId="2" fillId="0" borderId="62" xfId="1" applyNumberFormat="1" applyFont="1" applyBorder="1" applyAlignment="1">
      <alignment horizontal="center"/>
    </xf>
    <xf numFmtId="167" fontId="2" fillId="0" borderId="62" xfId="1" applyNumberFormat="1" applyFont="1" applyBorder="1" applyAlignment="1">
      <alignment horizontal="center"/>
    </xf>
    <xf numFmtId="167" fontId="2" fillId="0" borderId="27" xfId="1" applyNumberFormat="1" applyFont="1" applyBorder="1" applyAlignment="1">
      <alignment horizontal="center"/>
    </xf>
    <xf numFmtId="0" fontId="46" fillId="0" borderId="138" xfId="0" applyFont="1" applyBorder="1" applyAlignment="1">
      <alignment horizontal="right"/>
    </xf>
    <xf numFmtId="4" fontId="46" fillId="0" borderId="140" xfId="0" applyNumberFormat="1" applyFont="1" applyBorder="1" applyAlignment="1">
      <alignment horizontal="right"/>
    </xf>
    <xf numFmtId="0" fontId="46" fillId="0" borderId="0" xfId="0" applyFont="1" applyBorder="1" applyAlignment="1">
      <alignment horizontal="right"/>
    </xf>
    <xf numFmtId="4" fontId="46" fillId="0" borderId="0" xfId="2" applyNumberFormat="1" applyFont="1" applyBorder="1" applyAlignment="1">
      <alignment horizontal="right"/>
    </xf>
    <xf numFmtId="4" fontId="46" fillId="0" borderId="141" xfId="2" applyNumberFormat="1" applyFont="1" applyBorder="1" applyAlignment="1">
      <alignment horizontal="right"/>
    </xf>
    <xf numFmtId="0" fontId="47" fillId="0" borderId="139" xfId="0" applyFont="1" applyBorder="1" applyAlignment="1">
      <alignment horizontal="center"/>
    </xf>
    <xf numFmtId="0" fontId="47" fillId="0" borderId="142" xfId="0" applyFont="1" applyBorder="1" applyAlignment="1">
      <alignment horizontal="center"/>
    </xf>
    <xf numFmtId="0" fontId="46" fillId="0" borderId="0" xfId="2" applyFont="1" applyBorder="1" applyAlignment="1">
      <alignment horizontal="right"/>
    </xf>
    <xf numFmtId="2" fontId="47" fillId="0" borderId="138" xfId="0" applyNumberFormat="1" applyFont="1" applyBorder="1" applyAlignment="1">
      <alignment horizontal="center"/>
    </xf>
    <xf numFmtId="2" fontId="47" fillId="0" borderId="140" xfId="0" applyNumberFormat="1" applyFont="1" applyBorder="1" applyAlignment="1">
      <alignment horizontal="center"/>
    </xf>
    <xf numFmtId="4" fontId="47" fillId="0" borderId="138" xfId="0" applyNumberFormat="1" applyFont="1" applyBorder="1" applyAlignment="1">
      <alignment horizontal="center"/>
    </xf>
    <xf numFmtId="3" fontId="47" fillId="0" borderId="0" xfId="0" applyNumberFormat="1" applyFont="1" applyBorder="1" applyAlignment="1">
      <alignment horizontal="center"/>
    </xf>
    <xf numFmtId="3" fontId="47" fillId="0" borderId="139" xfId="0" applyNumberFormat="1" applyFont="1" applyBorder="1" applyAlignment="1">
      <alignment horizontal="center"/>
    </xf>
    <xf numFmtId="3" fontId="47" fillId="0" borderId="141" xfId="0" applyNumberFormat="1" applyFont="1" applyBorder="1" applyAlignment="1">
      <alignment horizontal="center"/>
    </xf>
    <xf numFmtId="3" fontId="47" fillId="0" borderId="142" xfId="0" applyNumberFormat="1" applyFont="1" applyBorder="1" applyAlignment="1">
      <alignment horizontal="center"/>
    </xf>
    <xf numFmtId="3" fontId="47" fillId="0" borderId="135" xfId="0" applyNumberFormat="1" applyFont="1" applyBorder="1" applyAlignment="1">
      <alignment horizontal="center"/>
    </xf>
    <xf numFmtId="3" fontId="47" fillId="0" borderId="137" xfId="0" applyNumberFormat="1" applyFont="1" applyBorder="1" applyAlignment="1">
      <alignment horizontal="center"/>
    </xf>
    <xf numFmtId="3" fontId="47" fillId="0" borderId="140" xfId="0" applyNumberFormat="1" applyFont="1" applyBorder="1" applyAlignment="1">
      <alignment horizontal="center"/>
    </xf>
    <xf numFmtId="3" fontId="47" fillId="0" borderId="200" xfId="0" applyNumberFormat="1" applyFont="1" applyBorder="1" applyAlignment="1">
      <alignment horizontal="center"/>
    </xf>
    <xf numFmtId="3" fontId="47" fillId="0" borderId="201" xfId="0" applyNumberFormat="1" applyFont="1" applyBorder="1" applyAlignment="1">
      <alignment horizontal="center"/>
    </xf>
    <xf numFmtId="0" fontId="45" fillId="14" borderId="202" xfId="6" applyBorder="1">
      <alignment horizontal="center" vertical="center"/>
    </xf>
    <xf numFmtId="0" fontId="45" fillId="14" borderId="203" xfId="6" applyBorder="1">
      <alignment horizontal="center" vertical="center"/>
    </xf>
    <xf numFmtId="0" fontId="38" fillId="10" borderId="35" xfId="4" applyFont="1" applyBorder="1" applyAlignment="1">
      <alignment horizontal="center" vertical="center"/>
    </xf>
    <xf numFmtId="0" fontId="2" fillId="0" borderId="5" xfId="0" applyFont="1" applyBorder="1" applyAlignment="1">
      <alignment horizontal="center"/>
    </xf>
    <xf numFmtId="0" fontId="2" fillId="11" borderId="0" xfId="0" applyFont="1" applyFill="1"/>
    <xf numFmtId="3" fontId="3" fillId="11" borderId="0" xfId="0" applyNumberFormat="1" applyFont="1" applyFill="1" applyAlignment="1">
      <alignment horizontal="left"/>
    </xf>
    <xf numFmtId="3" fontId="47" fillId="0" borderId="153" xfId="0" applyNumberFormat="1" applyFont="1" applyFill="1" applyBorder="1" applyAlignment="1">
      <alignment horizontal="center"/>
    </xf>
    <xf numFmtId="3" fontId="47" fillId="0" borderId="154" xfId="0" applyNumberFormat="1" applyFont="1" applyFill="1" applyBorder="1" applyAlignment="1">
      <alignment horizontal="center"/>
    </xf>
    <xf numFmtId="164" fontId="46" fillId="0" borderId="138" xfId="0" applyNumberFormat="1" applyFont="1" applyFill="1" applyBorder="1" applyAlignment="1">
      <alignment horizontal="center"/>
    </xf>
    <xf numFmtId="4" fontId="47" fillId="0" borderId="139" xfId="1" applyNumberFormat="1" applyFont="1" applyFill="1" applyBorder="1" applyAlignment="1">
      <alignment horizontal="center"/>
    </xf>
    <xf numFmtId="164" fontId="46" fillId="0" borderId="140" xfId="0" applyNumberFormat="1" applyFont="1" applyFill="1" applyBorder="1" applyAlignment="1">
      <alignment horizontal="center"/>
    </xf>
    <xf numFmtId="4" fontId="47" fillId="0" borderId="142" xfId="1" applyNumberFormat="1" applyFont="1" applyFill="1" applyBorder="1" applyAlignment="1">
      <alignment horizontal="center"/>
    </xf>
    <xf numFmtId="164" fontId="38" fillId="2" borderId="57" xfId="0" applyNumberFormat="1" applyFont="1" applyFill="1" applyBorder="1" applyAlignment="1">
      <alignment horizontal="center"/>
    </xf>
    <xf numFmtId="37" fontId="38" fillId="15" borderId="57" xfId="1" applyNumberFormat="1" applyFont="1" applyFill="1" applyBorder="1" applyAlignment="1">
      <alignment horizontal="center"/>
    </xf>
    <xf numFmtId="4" fontId="30" fillId="0" borderId="77" xfId="1" applyNumberFormat="1" applyFont="1" applyFill="1" applyBorder="1" applyAlignment="1">
      <alignment horizontal="center"/>
    </xf>
    <xf numFmtId="0" fontId="38" fillId="10" borderId="204" xfId="4" applyFont="1" applyBorder="1" applyAlignment="1">
      <alignment horizontal="center" vertical="center"/>
    </xf>
    <xf numFmtId="0" fontId="9" fillId="17" borderId="0" xfId="0" applyFont="1" applyFill="1"/>
    <xf numFmtId="0" fontId="18" fillId="17" borderId="0" xfId="0" applyFont="1" applyFill="1" applyAlignment="1">
      <alignment horizontal="center"/>
    </xf>
    <xf numFmtId="0" fontId="2" fillId="17" borderId="0" xfId="0" applyFont="1" applyFill="1" applyBorder="1" applyAlignment="1">
      <alignment horizontal="left"/>
    </xf>
    <xf numFmtId="0" fontId="81" fillId="11" borderId="0" xfId="0" applyFont="1" applyFill="1" applyAlignment="1">
      <alignment horizontal="center"/>
    </xf>
    <xf numFmtId="4" fontId="58" fillId="17" borderId="0" xfId="0" applyNumberFormat="1" applyFont="1" applyFill="1" applyBorder="1"/>
    <xf numFmtId="0" fontId="28" fillId="17" borderId="0" xfId="0" applyFont="1" applyFill="1"/>
    <xf numFmtId="0" fontId="34" fillId="17" borderId="0" xfId="4" applyFont="1" applyFill="1" applyBorder="1">
      <alignment horizontal="center" vertical="center"/>
    </xf>
    <xf numFmtId="0" fontId="3" fillId="17" borderId="0" xfId="0" applyFont="1" applyFill="1" applyBorder="1" applyAlignment="1">
      <alignment horizontal="center"/>
    </xf>
    <xf numFmtId="39" fontId="3" fillId="17" borderId="0" xfId="1" applyNumberFormat="1" applyFont="1" applyFill="1" applyBorder="1" applyAlignment="1">
      <alignment horizontal="right" wrapText="1"/>
    </xf>
    <xf numFmtId="1" fontId="3" fillId="17" borderId="0" xfId="0" applyNumberFormat="1" applyFont="1" applyFill="1" applyBorder="1" applyAlignment="1">
      <alignment horizontal="left" wrapText="1"/>
    </xf>
    <xf numFmtId="167" fontId="2" fillId="17" borderId="0" xfId="1" applyNumberFormat="1" applyFont="1" applyFill="1" applyBorder="1" applyAlignment="1">
      <alignment horizontal="center"/>
    </xf>
    <xf numFmtId="37" fontId="2" fillId="17" borderId="0" xfId="1" applyNumberFormat="1" applyFont="1" applyFill="1" applyBorder="1" applyAlignment="1">
      <alignment horizontal="center"/>
    </xf>
    <xf numFmtId="4" fontId="3" fillId="17" borderId="0" xfId="5" applyFont="1" applyFill="1" applyBorder="1" applyAlignment="1">
      <alignment horizontal="right"/>
    </xf>
    <xf numFmtId="167" fontId="3" fillId="17" borderId="0" xfId="1" applyNumberFormat="1" applyFont="1" applyFill="1" applyBorder="1" applyAlignment="1">
      <alignment horizontal="left"/>
    </xf>
    <xf numFmtId="39" fontId="3" fillId="17" borderId="0" xfId="1" applyNumberFormat="1" applyFont="1" applyFill="1" applyBorder="1" applyAlignment="1">
      <alignment horizontal="center"/>
    </xf>
    <xf numFmtId="0" fontId="36" fillId="17" borderId="0" xfId="0" applyFont="1" applyFill="1" applyAlignment="1">
      <alignment horizontal="center"/>
    </xf>
    <xf numFmtId="0" fontId="2" fillId="17" borderId="0" xfId="2" applyFill="1"/>
    <xf numFmtId="4" fontId="3" fillId="17" borderId="0" xfId="5" applyFont="1" applyFill="1" applyBorder="1">
      <alignment horizontal="center"/>
    </xf>
    <xf numFmtId="167" fontId="3" fillId="17" borderId="0" xfId="1" applyNumberFormat="1" applyFont="1" applyFill="1" applyBorder="1" applyAlignment="1">
      <alignment horizontal="center"/>
    </xf>
    <xf numFmtId="0" fontId="22" fillId="17" borderId="0" xfId="0" applyFont="1" applyFill="1" applyAlignment="1">
      <alignment horizontal="center"/>
    </xf>
    <xf numFmtId="0" fontId="2" fillId="17" borderId="0" xfId="0" applyFont="1" applyFill="1"/>
    <xf numFmtId="164" fontId="7" fillId="17" borderId="0" xfId="0" applyNumberFormat="1" applyFont="1" applyFill="1" applyBorder="1" applyAlignment="1">
      <alignment horizontal="right"/>
    </xf>
    <xf numFmtId="167" fontId="2" fillId="17" borderId="0" xfId="1" applyNumberFormat="1" applyFont="1" applyFill="1" applyAlignment="1">
      <alignment horizontal="center"/>
    </xf>
    <xf numFmtId="0" fontId="18" fillId="17" borderId="0" xfId="0" applyFont="1" applyFill="1"/>
    <xf numFmtId="0" fontId="2" fillId="17" borderId="0" xfId="2" applyFont="1" applyFill="1"/>
    <xf numFmtId="0" fontId="39" fillId="17" borderId="0" xfId="0" applyFont="1" applyFill="1" applyAlignment="1">
      <alignment horizontal="left"/>
    </xf>
    <xf numFmtId="43" fontId="2" fillId="17" borderId="0" xfId="1" applyNumberFormat="1" applyFont="1" applyFill="1" applyAlignment="1">
      <alignment horizontal="center"/>
    </xf>
    <xf numFmtId="2" fontId="2" fillId="17" borderId="0" xfId="0" applyNumberFormat="1" applyFont="1" applyFill="1"/>
    <xf numFmtId="0" fontId="7" fillId="17" borderId="0" xfId="0" applyFont="1" applyFill="1" applyBorder="1" applyAlignment="1">
      <alignment horizontal="left"/>
    </xf>
    <xf numFmtId="0" fontId="38" fillId="17" borderId="0" xfId="0" applyFont="1" applyFill="1" applyBorder="1" applyAlignment="1">
      <alignment horizontal="center"/>
    </xf>
    <xf numFmtId="0" fontId="38" fillId="17" borderId="0" xfId="0" applyFont="1" applyFill="1" applyBorder="1" applyAlignment="1">
      <alignment horizontal="right"/>
    </xf>
    <xf numFmtId="0" fontId="38" fillId="17" borderId="0" xfId="0" applyFont="1" applyFill="1" applyBorder="1" applyAlignment="1">
      <alignment horizontal="left" indent="1"/>
    </xf>
    <xf numFmtId="0" fontId="3" fillId="17" borderId="0" xfId="2" applyFont="1" applyFill="1" applyAlignment="1">
      <alignment horizontal="right"/>
    </xf>
    <xf numFmtId="164" fontId="18" fillId="17" borderId="0" xfId="0" applyNumberFormat="1" applyFont="1" applyFill="1" applyBorder="1" applyAlignment="1">
      <alignment horizontal="right" vertical="center"/>
    </xf>
    <xf numFmtId="0" fontId="2" fillId="17" borderId="0" xfId="0" applyFont="1" applyFill="1" applyBorder="1" applyAlignment="1">
      <alignment horizontal="center" vertical="center"/>
    </xf>
    <xf numFmtId="0" fontId="59" fillId="17" borderId="0" xfId="0" applyFont="1" applyFill="1"/>
    <xf numFmtId="0" fontId="75" fillId="17" borderId="0" xfId="0" applyFont="1" applyFill="1"/>
    <xf numFmtId="0" fontId="2" fillId="17" borderId="0" xfId="0" applyFont="1" applyFill="1" applyAlignment="1">
      <alignment wrapText="1"/>
    </xf>
    <xf numFmtId="0" fontId="2" fillId="17" borderId="0" xfId="0" applyFont="1" applyFill="1" applyAlignment="1"/>
    <xf numFmtId="3" fontId="2" fillId="17" borderId="0" xfId="0" applyNumberFormat="1" applyFont="1" applyFill="1"/>
    <xf numFmtId="0" fontId="18" fillId="17" borderId="0" xfId="0" applyFont="1" applyFill="1" applyAlignment="1"/>
    <xf numFmtId="0" fontId="0" fillId="17" borderId="0" xfId="0" applyFill="1" applyBorder="1" applyAlignment="1">
      <alignment horizontal="center"/>
    </xf>
    <xf numFmtId="49" fontId="38" fillId="17" borderId="0" xfId="0" applyNumberFormat="1" applyFont="1" applyFill="1" applyBorder="1" applyAlignment="1">
      <alignment horizontal="center"/>
    </xf>
    <xf numFmtId="0" fontId="38" fillId="17" borderId="0" xfId="4" applyFont="1" applyFill="1" applyBorder="1">
      <alignment horizontal="center" vertical="center"/>
    </xf>
    <xf numFmtId="169" fontId="3" fillId="17" borderId="0" xfId="0" applyNumberFormat="1" applyFont="1" applyFill="1" applyBorder="1" applyAlignment="1">
      <alignment horizontal="center"/>
    </xf>
    <xf numFmtId="169" fontId="3" fillId="17" borderId="0" xfId="4" applyNumberFormat="1" applyFont="1" applyFill="1" applyBorder="1" applyAlignment="1">
      <alignment horizontal="center" vertical="center"/>
    </xf>
    <xf numFmtId="3" fontId="3" fillId="17" borderId="0" xfId="4" applyNumberFormat="1" applyFont="1" applyFill="1" applyBorder="1" applyAlignment="1">
      <alignment horizontal="center" vertical="center"/>
    </xf>
    <xf numFmtId="3" fontId="38" fillId="17" borderId="0" xfId="1" applyNumberFormat="1" applyFont="1" applyFill="1" applyBorder="1" applyAlignment="1">
      <alignment horizontal="center"/>
    </xf>
    <xf numFmtId="0" fontId="57" fillId="17" borderId="0" xfId="4" applyFont="1" applyFill="1" applyBorder="1">
      <alignment horizontal="center" vertical="center"/>
    </xf>
    <xf numFmtId="0" fontId="2" fillId="17" borderId="0" xfId="4" applyFont="1" applyFill="1" applyBorder="1">
      <alignment horizontal="center" vertical="center"/>
    </xf>
    <xf numFmtId="0" fontId="58" fillId="17" borderId="0" xfId="0" applyFont="1" applyFill="1" applyBorder="1"/>
    <xf numFmtId="0" fontId="59" fillId="17" borderId="0" xfId="0" applyFont="1" applyFill="1" applyAlignment="1">
      <alignment horizontal="left"/>
    </xf>
    <xf numFmtId="0" fontId="75" fillId="17" borderId="0" xfId="4" applyFont="1" applyFill="1" applyBorder="1" applyAlignment="1">
      <alignment horizontal="left" vertical="center"/>
    </xf>
    <xf numFmtId="0" fontId="0" fillId="17" borderId="0" xfId="0" applyFill="1"/>
    <xf numFmtId="3" fontId="2" fillId="17" borderId="0" xfId="0" applyNumberFormat="1" applyFont="1" applyFill="1" applyAlignment="1">
      <alignment horizontal="center"/>
    </xf>
    <xf numFmtId="0" fontId="0" fillId="17" borderId="0" xfId="0" applyFill="1" applyAlignment="1">
      <alignment horizontal="center"/>
    </xf>
    <xf numFmtId="0" fontId="15" fillId="17" borderId="0" xfId="0" applyFont="1" applyFill="1" applyAlignment="1">
      <alignment horizontal="center"/>
    </xf>
    <xf numFmtId="0" fontId="2" fillId="17" borderId="0" xfId="0" applyFont="1" applyFill="1" applyAlignment="1">
      <alignment horizontal="center"/>
    </xf>
    <xf numFmtId="0" fontId="3" fillId="17" borderId="0" xfId="0" applyFont="1" applyFill="1" applyAlignment="1">
      <alignment horizontal="center" wrapText="1"/>
    </xf>
    <xf numFmtId="0" fontId="3" fillId="17" borderId="2" xfId="0" applyFont="1" applyFill="1" applyBorder="1" applyAlignment="1">
      <alignment horizontal="center" wrapText="1"/>
    </xf>
    <xf numFmtId="0" fontId="2" fillId="17" borderId="2" xfId="0" applyFont="1" applyFill="1" applyBorder="1" applyAlignment="1">
      <alignment horizontal="center"/>
    </xf>
    <xf numFmtId="0" fontId="2" fillId="17" borderId="2" xfId="0" applyFont="1" applyFill="1" applyBorder="1" applyAlignment="1">
      <alignment horizontal="left"/>
    </xf>
    <xf numFmtId="0" fontId="3" fillId="17" borderId="2" xfId="0" applyFont="1" applyFill="1" applyBorder="1" applyAlignment="1">
      <alignment horizontal="center" vertical="center"/>
    </xf>
    <xf numFmtId="0" fontId="2" fillId="17" borderId="0" xfId="0" applyFont="1" applyFill="1" applyAlignment="1">
      <alignment horizontal="left"/>
    </xf>
    <xf numFmtId="0" fontId="5" fillId="17" borderId="0" xfId="0" applyFont="1" applyFill="1"/>
    <xf numFmtId="0" fontId="24" fillId="17" borderId="0" xfId="0" applyFont="1" applyFill="1"/>
    <xf numFmtId="0" fontId="0" fillId="17" borderId="0" xfId="0" applyFill="1" applyAlignment="1"/>
    <xf numFmtId="0" fontId="3" fillId="17" borderId="0" xfId="0" applyFont="1" applyFill="1"/>
    <xf numFmtId="0" fontId="18" fillId="17" borderId="0" xfId="0" applyFont="1" applyFill="1" applyAlignment="1">
      <alignment horizontal="left"/>
    </xf>
    <xf numFmtId="0" fontId="23" fillId="17" borderId="0" xfId="0" applyFont="1" applyFill="1"/>
    <xf numFmtId="2" fontId="0" fillId="17" borderId="0" xfId="0" applyNumberFormat="1" applyFill="1" applyAlignment="1">
      <alignment horizontal="center"/>
    </xf>
    <xf numFmtId="0" fontId="0" fillId="17" borderId="0" xfId="0" applyFill="1" applyAlignment="1">
      <alignment horizontal="left"/>
    </xf>
    <xf numFmtId="0" fontId="5" fillId="17" borderId="0" xfId="0" applyFont="1" applyFill="1" applyAlignment="1">
      <alignment horizontal="left"/>
    </xf>
    <xf numFmtId="0" fontId="18" fillId="17" borderId="0" xfId="0" applyFont="1" applyFill="1" applyBorder="1"/>
    <xf numFmtId="0" fontId="24" fillId="17" borderId="0" xfId="0" applyFont="1" applyFill="1" applyBorder="1" applyAlignment="1">
      <alignment horizontal="left"/>
    </xf>
    <xf numFmtId="0" fontId="18" fillId="17" borderId="0" xfId="0" applyFont="1" applyFill="1" applyBorder="1" applyAlignment="1">
      <alignment horizontal="center"/>
    </xf>
    <xf numFmtId="2" fontId="18" fillId="17" borderId="0" xfId="0" applyNumberFormat="1" applyFont="1" applyFill="1" applyBorder="1" applyAlignment="1">
      <alignment horizontal="center"/>
    </xf>
    <xf numFmtId="164" fontId="0" fillId="17" borderId="0" xfId="0" applyNumberFormat="1" applyFill="1" applyAlignment="1">
      <alignment horizontal="center"/>
    </xf>
    <xf numFmtId="0" fontId="25" fillId="17" borderId="0" xfId="0" applyFont="1" applyFill="1"/>
    <xf numFmtId="0" fontId="9" fillId="17" borderId="0" xfId="0" applyFont="1" applyFill="1" applyAlignment="1">
      <alignment horizontal="center"/>
    </xf>
    <xf numFmtId="2" fontId="9" fillId="17" borderId="0" xfId="0" applyNumberFormat="1" applyFont="1" applyFill="1"/>
    <xf numFmtId="1" fontId="9" fillId="17" borderId="0" xfId="0" applyNumberFormat="1" applyFont="1" applyFill="1"/>
    <xf numFmtId="0" fontId="2" fillId="17" borderId="0" xfId="0" applyFont="1" applyFill="1" applyAlignment="1">
      <alignment vertical="center"/>
    </xf>
    <xf numFmtId="0" fontId="0" fillId="17" borderId="0" xfId="0" applyFill="1" applyAlignment="1">
      <alignment vertical="center"/>
    </xf>
    <xf numFmtId="0" fontId="2" fillId="17" borderId="0" xfId="0" applyFont="1" applyFill="1" applyAlignment="1">
      <alignment horizontal="left" vertical="center"/>
    </xf>
    <xf numFmtId="0" fontId="0" fillId="17" borderId="0" xfId="0" applyFill="1" applyAlignment="1">
      <alignment horizontal="center" vertical="center"/>
    </xf>
    <xf numFmtId="0" fontId="2" fillId="17" borderId="0" xfId="0" applyFont="1" applyFill="1" applyAlignment="1">
      <alignment horizontal="right"/>
    </xf>
    <xf numFmtId="0" fontId="28" fillId="17" borderId="0" xfId="0" applyFont="1" applyFill="1" applyAlignment="1">
      <alignment horizontal="center"/>
    </xf>
    <xf numFmtId="0" fontId="11" fillId="17" borderId="0" xfId="0" applyFont="1" applyFill="1"/>
    <xf numFmtId="0" fontId="16" fillId="17" borderId="0" xfId="0" applyFont="1" applyFill="1" applyAlignment="1">
      <alignment horizontal="left"/>
    </xf>
    <xf numFmtId="0" fontId="78" fillId="17" borderId="0" xfId="0" applyFont="1" applyFill="1" applyAlignment="1"/>
    <xf numFmtId="0" fontId="17" fillId="17" borderId="0" xfId="0" applyFont="1" applyFill="1" applyAlignment="1">
      <alignment horizontal="center"/>
    </xf>
    <xf numFmtId="0" fontId="58" fillId="17" borderId="0" xfId="0" applyFont="1" applyFill="1" applyBorder="1" applyAlignment="1">
      <alignment horizontal="center"/>
    </xf>
    <xf numFmtId="49" fontId="58" fillId="17" borderId="0" xfId="0" applyNumberFormat="1" applyFont="1" applyFill="1" applyBorder="1" applyAlignment="1">
      <alignment horizontal="center"/>
    </xf>
    <xf numFmtId="0" fontId="39" fillId="17" borderId="0" xfId="0" applyFont="1" applyFill="1"/>
    <xf numFmtId="0" fontId="64" fillId="17" borderId="0" xfId="0" applyFont="1" applyFill="1" applyAlignment="1">
      <alignment horizontal="left"/>
    </xf>
    <xf numFmtId="49" fontId="64" fillId="17" borderId="0" xfId="0" applyNumberFormat="1" applyFont="1" applyFill="1" applyAlignment="1">
      <alignment horizontal="center"/>
    </xf>
    <xf numFmtId="0" fontId="58" fillId="17" borderId="0" xfId="0" applyFont="1" applyFill="1" applyAlignment="1">
      <alignment horizontal="right"/>
    </xf>
    <xf numFmtId="0" fontId="64" fillId="17" borderId="0" xfId="0" applyFont="1" applyFill="1"/>
    <xf numFmtId="49" fontId="39" fillId="17" borderId="0" xfId="0" applyNumberFormat="1" applyFont="1" applyFill="1" applyAlignment="1">
      <alignment horizontal="center"/>
    </xf>
    <xf numFmtId="49" fontId="2" fillId="17" borderId="0" xfId="0" applyNumberFormat="1" applyFont="1" applyFill="1" applyAlignment="1">
      <alignment horizontal="center"/>
    </xf>
    <xf numFmtId="0" fontId="70" fillId="17" borderId="0" xfId="0" applyFont="1" applyFill="1"/>
    <xf numFmtId="0" fontId="3" fillId="17" borderId="0" xfId="0" applyFont="1" applyFill="1" applyAlignment="1">
      <alignment horizontal="center"/>
    </xf>
    <xf numFmtId="0" fontId="3" fillId="17" borderId="0" xfId="0" applyFont="1" applyFill="1" applyAlignment="1">
      <alignment horizontal="left"/>
    </xf>
    <xf numFmtId="0" fontId="2" fillId="17" borderId="0" xfId="0" applyFont="1" applyFill="1" applyAlignment="1">
      <alignment horizontal="left" vertical="center" wrapText="1"/>
    </xf>
    <xf numFmtId="0" fontId="52" fillId="17" borderId="0" xfId="7" applyFill="1"/>
    <xf numFmtId="0" fontId="2" fillId="17" borderId="0" xfId="2" applyFill="1" applyBorder="1"/>
    <xf numFmtId="0" fontId="0" fillId="17" borderId="0" xfId="0" applyFill="1" applyBorder="1"/>
    <xf numFmtId="49" fontId="16" fillId="17" borderId="0" xfId="0" applyNumberFormat="1" applyFont="1" applyFill="1" applyBorder="1" applyAlignment="1">
      <alignment horizontal="center"/>
    </xf>
    <xf numFmtId="43" fontId="18" fillId="17" borderId="0" xfId="1" applyNumberFormat="1" applyFont="1" applyFill="1" applyAlignment="1">
      <alignment horizontal="left"/>
    </xf>
    <xf numFmtId="0" fontId="18" fillId="17" borderId="0" xfId="1" applyNumberFormat="1" applyFont="1" applyFill="1" applyAlignment="1">
      <alignment horizontal="left"/>
    </xf>
    <xf numFmtId="0" fontId="2" fillId="17" borderId="0" xfId="0" applyFont="1" applyFill="1" applyBorder="1" applyAlignment="1">
      <alignment horizontal="center"/>
    </xf>
    <xf numFmtId="0" fontId="5" fillId="17" borderId="0" xfId="0" applyFont="1" applyFill="1" applyBorder="1" applyAlignment="1">
      <alignment horizontal="left"/>
    </xf>
    <xf numFmtId="4" fontId="2" fillId="17" borderId="0" xfId="0" applyNumberFormat="1" applyFont="1" applyFill="1" applyBorder="1" applyAlignment="1">
      <alignment horizontal="center"/>
    </xf>
    <xf numFmtId="0" fontId="2" fillId="17" borderId="0" xfId="0" applyFont="1" applyFill="1" applyBorder="1" applyAlignment="1">
      <alignment horizontal="right"/>
    </xf>
    <xf numFmtId="39" fontId="2" fillId="17" borderId="0" xfId="1" applyNumberFormat="1" applyFont="1" applyFill="1" applyAlignment="1"/>
    <xf numFmtId="43" fontId="2" fillId="17" borderId="0" xfId="1" applyNumberFormat="1" applyFont="1" applyFill="1" applyAlignment="1"/>
    <xf numFmtId="2" fontId="2" fillId="17" borderId="0" xfId="0" applyNumberFormat="1" applyFont="1" applyFill="1" applyAlignment="1"/>
    <xf numFmtId="43" fontId="2" fillId="17" borderId="0" xfId="1" applyFont="1" applyFill="1" applyAlignment="1">
      <alignment horizontal="right"/>
    </xf>
    <xf numFmtId="0" fontId="0" fillId="17" borderId="0" xfId="0" applyFont="1" applyFill="1" applyAlignment="1">
      <alignment horizontal="center"/>
    </xf>
    <xf numFmtId="0" fontId="38" fillId="17" borderId="0" xfId="0" applyFont="1" applyFill="1" applyAlignment="1">
      <alignment horizontal="left"/>
    </xf>
    <xf numFmtId="0" fontId="12" fillId="17" borderId="0" xfId="0" applyFont="1" applyFill="1" applyAlignment="1">
      <alignment horizontal="center"/>
    </xf>
    <xf numFmtId="164" fontId="12" fillId="17" borderId="0" xfId="0" applyNumberFormat="1" applyFont="1" applyFill="1" applyBorder="1" applyAlignment="1">
      <alignment horizontal="center"/>
    </xf>
    <xf numFmtId="0" fontId="82" fillId="17" borderId="0" xfId="0" applyFont="1" applyFill="1" applyAlignment="1">
      <alignment horizontal="center"/>
    </xf>
    <xf numFmtId="164" fontId="3" fillId="17" borderId="0" xfId="0" applyNumberFormat="1" applyFont="1" applyFill="1" applyBorder="1" applyAlignment="1">
      <alignment horizontal="center"/>
    </xf>
    <xf numFmtId="0" fontId="0" fillId="17" borderId="0" xfId="0" applyFill="1" applyAlignment="1">
      <alignment horizontal="left" vertical="center" wrapText="1"/>
    </xf>
    <xf numFmtId="3" fontId="2" fillId="17" borderId="0" xfId="0" applyNumberFormat="1" applyFont="1" applyFill="1" applyBorder="1" applyAlignment="1">
      <alignment horizontal="center" vertical="center"/>
    </xf>
    <xf numFmtId="4" fontId="47" fillId="0" borderId="140" xfId="0" applyNumberFormat="1" applyFont="1" applyBorder="1" applyAlignment="1">
      <alignment horizontal="center"/>
    </xf>
    <xf numFmtId="3" fontId="47" fillId="0" borderId="139" xfId="0" applyNumberFormat="1" applyFont="1" applyFill="1" applyBorder="1" applyAlignment="1">
      <alignment horizontal="center"/>
    </xf>
    <xf numFmtId="0" fontId="47" fillId="0" borderId="0" xfId="0" applyFont="1" applyFill="1" applyBorder="1" applyAlignment="1">
      <alignment horizontal="right"/>
    </xf>
    <xf numFmtId="0" fontId="2" fillId="0" borderId="0" xfId="0" applyFont="1" applyBorder="1"/>
    <xf numFmtId="3" fontId="47" fillId="0" borderId="205" xfId="0" applyNumberFormat="1" applyFont="1" applyBorder="1" applyAlignment="1">
      <alignment horizontal="center"/>
    </xf>
    <xf numFmtId="3" fontId="47" fillId="0" borderId="207" xfId="0" applyNumberFormat="1" applyFont="1" applyBorder="1" applyAlignment="1">
      <alignment horizontal="center"/>
    </xf>
    <xf numFmtId="3" fontId="47" fillId="0" borderId="206" xfId="0" applyNumberFormat="1" applyFont="1" applyBorder="1" applyAlignment="1">
      <alignment horizontal="center"/>
    </xf>
    <xf numFmtId="3" fontId="9" fillId="0" borderId="0" xfId="0" applyNumberFormat="1" applyFont="1"/>
    <xf numFmtId="3" fontId="47" fillId="0" borderId="200" xfId="0" applyNumberFormat="1" applyFont="1" applyFill="1" applyBorder="1" applyAlignment="1">
      <alignment horizontal="center"/>
    </xf>
    <xf numFmtId="3" fontId="47" fillId="0" borderId="209" xfId="0" applyNumberFormat="1" applyFont="1" applyBorder="1" applyAlignment="1">
      <alignment horizontal="center"/>
    </xf>
    <xf numFmtId="3" fontId="47" fillId="0" borderId="210" xfId="0" applyNumberFormat="1" applyFont="1" applyBorder="1" applyAlignment="1">
      <alignment horizontal="center"/>
    </xf>
    <xf numFmtId="3" fontId="47" fillId="0" borderId="136" xfId="0" applyNumberFormat="1" applyFont="1" applyBorder="1" applyAlignment="1">
      <alignment horizontal="center"/>
    </xf>
    <xf numFmtId="3" fontId="47" fillId="0" borderId="208" xfId="0" applyNumberFormat="1" applyFont="1" applyBorder="1" applyAlignment="1">
      <alignment horizontal="center"/>
    </xf>
    <xf numFmtId="0" fontId="2" fillId="0" borderId="69" xfId="0" applyFont="1" applyFill="1" applyBorder="1" applyAlignment="1">
      <alignment horizontal="center"/>
    </xf>
    <xf numFmtId="164" fontId="47" fillId="0" borderId="142" xfId="0" applyNumberFormat="1" applyFont="1" applyBorder="1" applyAlignment="1">
      <alignment horizontal="center"/>
    </xf>
    <xf numFmtId="0" fontId="18" fillId="0" borderId="0" xfId="0" applyFont="1" applyFill="1"/>
    <xf numFmtId="3" fontId="43" fillId="3" borderId="84" xfId="5" applyNumberFormat="1">
      <alignment horizontal="center"/>
    </xf>
    <xf numFmtId="178" fontId="3" fillId="11" borderId="0" xfId="0" applyNumberFormat="1" applyFont="1" applyFill="1" applyAlignment="1">
      <alignment horizontal="left"/>
    </xf>
    <xf numFmtId="0" fontId="3" fillId="0" borderId="55" xfId="0" applyFont="1" applyBorder="1" applyAlignment="1">
      <alignment horizontal="center"/>
    </xf>
    <xf numFmtId="0" fontId="3" fillId="0" borderId="54" xfId="0" applyFont="1" applyBorder="1" applyAlignment="1">
      <alignment horizontal="center"/>
    </xf>
    <xf numFmtId="0" fontId="3" fillId="0" borderId="38" xfId="0" applyFont="1" applyBorder="1" applyAlignment="1">
      <alignment horizontal="center"/>
    </xf>
    <xf numFmtId="0" fontId="3" fillId="0" borderId="50" xfId="0" applyFont="1" applyBorder="1" applyAlignment="1">
      <alignment horizontal="center"/>
    </xf>
    <xf numFmtId="0" fontId="3" fillId="0" borderId="77" xfId="0" applyFont="1" applyBorder="1" applyAlignment="1">
      <alignment horizontal="center"/>
    </xf>
    <xf numFmtId="3" fontId="0" fillId="0" borderId="4" xfId="0" applyNumberFormat="1" applyBorder="1" applyAlignment="1">
      <alignment horizontal="center"/>
    </xf>
    <xf numFmtId="3" fontId="0" fillId="0" borderId="5" xfId="0" applyNumberFormat="1" applyBorder="1" applyAlignment="1">
      <alignment horizontal="center"/>
    </xf>
    <xf numFmtId="0" fontId="3" fillId="0" borderId="59" xfId="0" applyFont="1" applyBorder="1" applyAlignment="1">
      <alignment horizontal="center"/>
    </xf>
    <xf numFmtId="3" fontId="0" fillId="0" borderId="7" xfId="0" applyNumberFormat="1" applyBorder="1" applyAlignment="1">
      <alignment horizontal="center"/>
    </xf>
    <xf numFmtId="3" fontId="0" fillId="0" borderId="8" xfId="0" applyNumberFormat="1" applyBorder="1" applyAlignment="1">
      <alignment horizontal="center"/>
    </xf>
    <xf numFmtId="0" fontId="3" fillId="0" borderId="60" xfId="0" applyFont="1" applyBorder="1" applyAlignment="1">
      <alignment horizontal="center"/>
    </xf>
    <xf numFmtId="3" fontId="0" fillId="0" borderId="10" xfId="0" applyNumberFormat="1" applyBorder="1" applyAlignment="1">
      <alignment horizontal="center"/>
    </xf>
    <xf numFmtId="3" fontId="0" fillId="0" borderId="11" xfId="0" applyNumberFormat="1" applyBorder="1" applyAlignment="1">
      <alignment horizontal="center"/>
    </xf>
    <xf numFmtId="3" fontId="0" fillId="18" borderId="21" xfId="0" applyNumberFormat="1" applyFill="1" applyBorder="1" applyAlignment="1">
      <alignment horizontal="center"/>
    </xf>
    <xf numFmtId="3" fontId="0" fillId="18" borderId="22" xfId="0" applyNumberFormat="1" applyFill="1" applyBorder="1" applyAlignment="1">
      <alignment horizontal="center"/>
    </xf>
    <xf numFmtId="3" fontId="0" fillId="18" borderId="23" xfId="0" applyNumberFormat="1" applyFill="1" applyBorder="1" applyAlignment="1">
      <alignment horizontal="center"/>
    </xf>
    <xf numFmtId="4" fontId="16" fillId="17" borderId="0" xfId="0" applyNumberFormat="1" applyFont="1" applyFill="1" applyAlignment="1">
      <alignment horizontal="left"/>
    </xf>
    <xf numFmtId="4" fontId="16" fillId="17" borderId="0" xfId="0" applyNumberFormat="1" applyFont="1" applyFill="1" applyAlignment="1">
      <alignment horizontal="left" wrapText="1"/>
    </xf>
    <xf numFmtId="0" fontId="3" fillId="2" borderId="0" xfId="0" applyFont="1" applyFill="1" applyBorder="1" applyAlignment="1">
      <alignment horizontal="right" wrapText="1" indent="1"/>
    </xf>
    <xf numFmtId="0" fontId="0" fillId="0" borderId="0" xfId="0" applyAlignment="1">
      <alignment horizontal="right" wrapText="1" indent="1"/>
    </xf>
    <xf numFmtId="0" fontId="2" fillId="17" borderId="0" xfId="0" applyFont="1" applyFill="1" applyAlignment="1">
      <alignment horizontal="left" vertical="center" wrapText="1"/>
    </xf>
    <xf numFmtId="0" fontId="2" fillId="17" borderId="0" xfId="0" applyFont="1" applyFill="1" applyAlignment="1">
      <alignment vertical="center" wrapText="1"/>
    </xf>
    <xf numFmtId="0" fontId="0" fillId="17" borderId="0" xfId="0" applyFill="1" applyAlignment="1">
      <alignment vertical="center" wrapText="1"/>
    </xf>
    <xf numFmtId="0" fontId="2" fillId="2" borderId="0" xfId="0" applyFont="1" applyFill="1" applyBorder="1" applyAlignment="1">
      <alignment horizontal="left" wrapText="1" indent="8"/>
    </xf>
    <xf numFmtId="0" fontId="0" fillId="2" borderId="0" xfId="0" applyFill="1" applyAlignment="1">
      <alignment horizontal="left" wrapText="1" indent="8"/>
    </xf>
    <xf numFmtId="0" fontId="0" fillId="17" borderId="0" xfId="0" applyFill="1" applyAlignment="1">
      <alignment wrapText="1"/>
    </xf>
    <xf numFmtId="0" fontId="2" fillId="17" borderId="0" xfId="0" applyFont="1" applyFill="1" applyAlignment="1">
      <alignment wrapText="1"/>
    </xf>
    <xf numFmtId="0" fontId="3" fillId="2" borderId="0" xfId="0" applyFont="1" applyFill="1" applyBorder="1" applyAlignment="1">
      <alignment horizontal="left" wrapText="1" indent="8"/>
    </xf>
    <xf numFmtId="0" fontId="0" fillId="0" borderId="0" xfId="0" applyAlignment="1">
      <alignment wrapText="1"/>
    </xf>
    <xf numFmtId="0" fontId="3" fillId="0" borderId="0" xfId="0" applyFont="1" applyAlignment="1">
      <alignment horizontal="center" wrapText="1"/>
    </xf>
    <xf numFmtId="0" fontId="0" fillId="0" borderId="0" xfId="0" applyAlignment="1">
      <alignment horizontal="center" wrapText="1"/>
    </xf>
    <xf numFmtId="0" fontId="0" fillId="0" borderId="2" xfId="0" applyBorder="1" applyAlignment="1">
      <alignment horizontal="center" wrapText="1"/>
    </xf>
    <xf numFmtId="0" fontId="2" fillId="17" borderId="1" xfId="0" applyFont="1" applyFill="1" applyBorder="1" applyAlignment="1">
      <alignment wrapText="1"/>
    </xf>
    <xf numFmtId="0" fontId="0" fillId="0" borderId="1" xfId="0" applyBorder="1" applyAlignment="1">
      <alignment wrapText="1"/>
    </xf>
    <xf numFmtId="0" fontId="68" fillId="13" borderId="0" xfId="0" applyFont="1" applyFill="1" applyAlignment="1">
      <alignment horizontal="center" vertical="center" wrapText="1"/>
    </xf>
    <xf numFmtId="0" fontId="69" fillId="13" borderId="0" xfId="0" applyFont="1" applyFill="1" applyAlignment="1">
      <alignment horizontal="center" vertical="center" wrapText="1"/>
    </xf>
    <xf numFmtId="0" fontId="0" fillId="0" borderId="0" xfId="0" applyAlignment="1">
      <alignment horizontal="center" vertical="center" wrapText="1"/>
    </xf>
    <xf numFmtId="0" fontId="71" fillId="17" borderId="0" xfId="0" applyFont="1" applyFill="1" applyAlignment="1">
      <alignment horizontal="center" wrapText="1"/>
    </xf>
    <xf numFmtId="0" fontId="3" fillId="6" borderId="0" xfId="0" applyFont="1" applyFill="1" applyBorder="1" applyAlignment="1">
      <alignment horizontal="left" wrapText="1" indent="3"/>
    </xf>
    <xf numFmtId="0" fontId="0" fillId="6" borderId="0" xfId="0" applyFill="1" applyAlignment="1">
      <alignment horizontal="left" wrapText="1" indent="3"/>
    </xf>
    <xf numFmtId="0" fontId="2" fillId="6" borderId="0" xfId="0" applyFont="1" applyFill="1" applyAlignment="1">
      <alignment horizontal="left" vertical="center" wrapText="1" indent="3"/>
    </xf>
    <xf numFmtId="0" fontId="0" fillId="6" borderId="0" xfId="0" applyFill="1" applyAlignment="1">
      <alignment horizontal="left" vertical="center" wrapText="1" indent="3"/>
    </xf>
    <xf numFmtId="0" fontId="0" fillId="0" borderId="0" xfId="0" applyAlignment="1">
      <alignment horizontal="left" vertical="center" wrapText="1" indent="3"/>
    </xf>
    <xf numFmtId="0" fontId="52" fillId="6" borderId="0" xfId="7" applyFill="1" applyBorder="1" applyAlignment="1">
      <alignment horizontal="center" wrapText="1"/>
    </xf>
    <xf numFmtId="0" fontId="0" fillId="6" borderId="0" xfId="0" applyFill="1" applyAlignment="1">
      <alignment horizontal="center" wrapText="1"/>
    </xf>
    <xf numFmtId="0" fontId="65" fillId="17" borderId="0" xfId="0" applyFont="1" applyFill="1" applyAlignment="1">
      <alignment horizontal="center" wrapText="1"/>
    </xf>
    <xf numFmtId="0" fontId="66" fillId="17" borderId="0" xfId="0" applyFont="1" applyFill="1" applyAlignment="1">
      <alignment wrapText="1"/>
    </xf>
    <xf numFmtId="0" fontId="18" fillId="17" borderId="0" xfId="0" applyFont="1" applyFill="1" applyAlignment="1">
      <alignment vertical="center" wrapText="1"/>
    </xf>
    <xf numFmtId="165" fontId="58" fillId="17" borderId="0" xfId="0" applyNumberFormat="1" applyFont="1" applyFill="1" applyAlignment="1">
      <alignment horizontal="left" wrapText="1" indent="1"/>
    </xf>
    <xf numFmtId="165" fontId="16" fillId="17" borderId="0" xfId="0" applyNumberFormat="1" applyFont="1" applyFill="1" applyAlignment="1">
      <alignment horizontal="left" wrapText="1" indent="1"/>
    </xf>
    <xf numFmtId="0" fontId="58" fillId="17" borderId="0" xfId="0" applyFont="1" applyFill="1" applyAlignment="1">
      <alignment wrapText="1"/>
    </xf>
    <xf numFmtId="0" fontId="39" fillId="17" borderId="0" xfId="0" applyFont="1" applyFill="1" applyAlignment="1">
      <alignment wrapText="1"/>
    </xf>
    <xf numFmtId="0" fontId="72" fillId="17" borderId="0" xfId="0" applyFont="1" applyFill="1" applyAlignment="1">
      <alignment horizontal="left" wrapText="1"/>
    </xf>
    <xf numFmtId="0" fontId="36" fillId="17" borderId="0" xfId="0" applyFont="1" applyFill="1" applyAlignment="1">
      <alignment wrapText="1"/>
    </xf>
    <xf numFmtId="0" fontId="72" fillId="17" borderId="0" xfId="0" applyFont="1" applyFill="1" applyAlignment="1">
      <alignment wrapText="1"/>
    </xf>
    <xf numFmtId="0" fontId="38" fillId="17" borderId="0" xfId="0" applyFont="1" applyFill="1" applyAlignment="1">
      <alignment horizontal="center" wrapText="1"/>
    </xf>
    <xf numFmtId="0" fontId="38" fillId="17" borderId="0" xfId="0" applyFont="1" applyFill="1" applyAlignment="1">
      <alignment horizontal="center" vertical="center" wrapText="1"/>
    </xf>
    <xf numFmtId="0" fontId="58" fillId="17" borderId="0" xfId="0" applyFont="1" applyFill="1" applyBorder="1" applyAlignment="1">
      <alignment wrapText="1"/>
    </xf>
    <xf numFmtId="0" fontId="85" fillId="17" borderId="0" xfId="0" applyFont="1" applyFill="1" applyAlignment="1">
      <alignment horizontal="center" wrapText="1"/>
    </xf>
    <xf numFmtId="0" fontId="78" fillId="17" borderId="0" xfId="0" applyFont="1" applyFill="1" applyAlignment="1">
      <alignment vertical="center" wrapText="1"/>
    </xf>
    <xf numFmtId="4" fontId="61" fillId="3" borderId="84" xfId="5" applyFont="1">
      <alignment horizontal="center"/>
    </xf>
    <xf numFmtId="0" fontId="62" fillId="17" borderId="0" xfId="0" applyFont="1" applyFill="1" applyAlignment="1">
      <alignment horizontal="center"/>
    </xf>
    <xf numFmtId="0" fontId="63" fillId="17" borderId="0" xfId="0" applyFont="1" applyFill="1" applyAlignment="1">
      <alignment horizontal="center"/>
    </xf>
    <xf numFmtId="0" fontId="58" fillId="17" borderId="0" xfId="0" applyFont="1" applyFill="1" applyBorder="1" applyAlignment="1">
      <alignment horizontal="center" wrapText="1"/>
    </xf>
    <xf numFmtId="0" fontId="2" fillId="17" borderId="0" xfId="0" applyFont="1" applyFill="1" applyAlignment="1">
      <alignment horizontal="center" wrapText="1"/>
    </xf>
    <xf numFmtId="0" fontId="67" fillId="17" borderId="0" xfId="0" applyFont="1" applyFill="1" applyAlignment="1">
      <alignment horizontal="center" vertical="center" wrapText="1"/>
    </xf>
    <xf numFmtId="0" fontId="38" fillId="2" borderId="6"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111"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55" xfId="0" applyFont="1" applyFill="1" applyBorder="1" applyAlignment="1">
      <alignment horizontal="center" vertical="center" wrapText="1"/>
    </xf>
    <xf numFmtId="0" fontId="38" fillId="2" borderId="56" xfId="0" applyFont="1" applyFill="1" applyBorder="1" applyAlignment="1">
      <alignment horizontal="center" vertical="center" wrapText="1"/>
    </xf>
    <xf numFmtId="0" fontId="39" fillId="2" borderId="56"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9" fillId="2" borderId="8"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40" xfId="0" applyFont="1" applyFill="1" applyBorder="1" applyAlignment="1">
      <alignment horizontal="center" vertical="center" wrapText="1"/>
    </xf>
    <xf numFmtId="0" fontId="39" fillId="2" borderId="71" xfId="0" applyFont="1" applyFill="1" applyBorder="1" applyAlignment="1">
      <alignment horizontal="center" vertical="center" wrapText="1"/>
    </xf>
    <xf numFmtId="0" fontId="0" fillId="0" borderId="110" xfId="0" applyBorder="1" applyAlignment="1">
      <alignment horizontal="center" vertical="center" wrapText="1"/>
    </xf>
    <xf numFmtId="0" fontId="3" fillId="17" borderId="0" xfId="0" applyFont="1" applyFill="1" applyBorder="1" applyAlignment="1">
      <alignment horizontal="right" wrapText="1" indent="1"/>
    </xf>
    <xf numFmtId="0" fontId="0" fillId="17" borderId="0" xfId="0" applyFill="1" applyBorder="1" applyAlignment="1">
      <alignment horizontal="right" wrapText="1" indent="1"/>
    </xf>
    <xf numFmtId="0" fontId="0" fillId="17" borderId="172" xfId="0" applyFill="1" applyBorder="1" applyAlignment="1">
      <alignment horizontal="right" wrapText="1" indent="1"/>
    </xf>
    <xf numFmtId="0" fontId="2" fillId="17" borderId="1" xfId="0" applyFont="1" applyFill="1" applyBorder="1" applyAlignment="1">
      <alignment vertical="center" wrapText="1"/>
    </xf>
    <xf numFmtId="0" fontId="0" fillId="17" borderId="1" xfId="0" applyFill="1" applyBorder="1" applyAlignment="1">
      <alignment vertical="center" wrapText="1"/>
    </xf>
    <xf numFmtId="0" fontId="41" fillId="2" borderId="5" xfId="0" applyFont="1" applyFill="1" applyBorder="1" applyAlignment="1">
      <alignment horizontal="center" vertical="center" wrapText="1"/>
    </xf>
    <xf numFmtId="0" fontId="39" fillId="2" borderId="8" xfId="0" applyFont="1" applyFill="1" applyBorder="1" applyAlignment="1">
      <alignment vertical="center" wrapText="1"/>
    </xf>
    <xf numFmtId="0" fontId="39" fillId="2" borderId="11" xfId="0" applyFont="1" applyFill="1" applyBorder="1" applyAlignment="1">
      <alignment vertical="center" wrapText="1"/>
    </xf>
    <xf numFmtId="0" fontId="39" fillId="0" borderId="9" xfId="0" applyFont="1" applyBorder="1" applyAlignment="1">
      <alignment wrapText="1"/>
    </xf>
    <xf numFmtId="0" fontId="39" fillId="0" borderId="12" xfId="0" applyFont="1" applyBorder="1" applyAlignment="1">
      <alignment wrapText="1"/>
    </xf>
    <xf numFmtId="0" fontId="41" fillId="2" borderId="42" xfId="0" applyFont="1" applyFill="1" applyBorder="1" applyAlignment="1">
      <alignment horizontal="center" vertical="center" wrapText="1"/>
    </xf>
    <xf numFmtId="0" fontId="39" fillId="2" borderId="29" xfId="0" applyFont="1" applyFill="1" applyBorder="1" applyAlignment="1">
      <alignment vertical="center" wrapText="1"/>
    </xf>
    <xf numFmtId="0" fontId="39" fillId="2" borderId="30" xfId="0" applyFont="1" applyFill="1" applyBorder="1" applyAlignment="1">
      <alignment vertical="center" wrapText="1"/>
    </xf>
    <xf numFmtId="0" fontId="38" fillId="2" borderId="13" xfId="0" applyFont="1" applyFill="1" applyBorder="1" applyAlignment="1">
      <alignment horizontal="center" vertical="center" wrapText="1"/>
    </xf>
    <xf numFmtId="0" fontId="39" fillId="0" borderId="14" xfId="0" applyFont="1" applyBorder="1" applyAlignment="1">
      <alignment wrapText="1"/>
    </xf>
    <xf numFmtId="0" fontId="39" fillId="0" borderId="15" xfId="0" applyFont="1" applyBorder="1" applyAlignment="1">
      <alignment wrapText="1"/>
    </xf>
    <xf numFmtId="0" fontId="39" fillId="0" borderId="8" xfId="0" applyFont="1" applyBorder="1" applyAlignment="1">
      <alignment wrapText="1"/>
    </xf>
    <xf numFmtId="0" fontId="39" fillId="0" borderId="11" xfId="0" applyFont="1" applyBorder="1" applyAlignment="1">
      <alignment wrapText="1"/>
    </xf>
    <xf numFmtId="0" fontId="38" fillId="2" borderId="50"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9" fillId="0" borderId="1" xfId="0" applyFont="1" applyBorder="1" applyAlignment="1">
      <alignment wrapText="1"/>
    </xf>
    <xf numFmtId="0" fontId="39" fillId="0" borderId="38" xfId="0" applyFont="1" applyBorder="1" applyAlignment="1">
      <alignment wrapText="1"/>
    </xf>
    <xf numFmtId="0" fontId="38" fillId="2" borderId="16" xfId="0" applyFont="1" applyFill="1" applyBorder="1" applyAlignment="1">
      <alignment horizontal="center" vertical="center" wrapText="1"/>
    </xf>
    <xf numFmtId="0" fontId="39" fillId="2" borderId="17" xfId="0" applyFont="1" applyFill="1" applyBorder="1" applyAlignment="1">
      <alignment horizontal="center" vertical="center" wrapText="1"/>
    </xf>
    <xf numFmtId="0" fontId="0" fillId="0" borderId="18" xfId="0" applyBorder="1" applyAlignment="1">
      <alignment horizontal="center" vertical="center" wrapText="1"/>
    </xf>
    <xf numFmtId="0" fontId="41" fillId="2" borderId="6" xfId="0" applyFont="1" applyFill="1" applyBorder="1" applyAlignment="1">
      <alignment horizontal="center" vertical="center" wrapText="1"/>
    </xf>
    <xf numFmtId="0" fontId="39" fillId="2" borderId="9" xfId="0" applyFont="1" applyFill="1" applyBorder="1" applyAlignment="1">
      <alignment vertical="center" wrapText="1"/>
    </xf>
    <xf numFmtId="0" fontId="39" fillId="2" borderId="12" xfId="0" applyFont="1" applyFill="1" applyBorder="1" applyAlignment="1">
      <alignment vertical="center" wrapText="1"/>
    </xf>
    <xf numFmtId="0" fontId="39" fillId="2" borderId="57" xfId="0" applyFont="1" applyFill="1" applyBorder="1" applyAlignment="1">
      <alignment horizontal="center" vertical="center" wrapText="1"/>
    </xf>
    <xf numFmtId="0" fontId="38" fillId="2" borderId="45" xfId="0" applyFont="1" applyFill="1" applyBorder="1" applyAlignment="1">
      <alignment horizontal="center" vertical="center" wrapText="1"/>
    </xf>
    <xf numFmtId="0" fontId="38" fillId="2" borderId="44" xfId="0" applyFont="1" applyFill="1" applyBorder="1" applyAlignment="1">
      <alignment horizontal="center" vertical="center" wrapText="1"/>
    </xf>
    <xf numFmtId="0" fontId="38" fillId="2" borderId="72" xfId="0" applyFont="1" applyFill="1" applyBorder="1" applyAlignment="1">
      <alignment horizontal="center" vertical="center" wrapText="1"/>
    </xf>
    <xf numFmtId="0" fontId="0" fillId="0" borderId="41" xfId="0" applyBorder="1" applyAlignment="1">
      <alignment horizontal="center" vertical="center" wrapText="1"/>
    </xf>
    <xf numFmtId="0" fontId="38" fillId="2" borderId="14" xfId="0" applyFont="1" applyFill="1" applyBorder="1" applyAlignment="1">
      <alignment vertical="center" wrapText="1"/>
    </xf>
    <xf numFmtId="0" fontId="38" fillId="2" borderId="15" xfId="0" applyFont="1" applyFill="1" applyBorder="1" applyAlignment="1">
      <alignment vertical="center" wrapText="1"/>
    </xf>
    <xf numFmtId="0" fontId="39" fillId="2" borderId="11" xfId="0" applyFont="1" applyFill="1" applyBorder="1" applyAlignment="1">
      <alignment horizontal="center" vertical="center" wrapText="1"/>
    </xf>
    <xf numFmtId="0" fontId="38" fillId="2" borderId="170" xfId="0" applyFont="1" applyFill="1" applyBorder="1" applyAlignment="1">
      <alignment horizontal="center" vertical="center" wrapText="1"/>
    </xf>
    <xf numFmtId="0" fontId="3" fillId="6" borderId="13" xfId="0" applyFont="1" applyFill="1" applyBorder="1" applyAlignment="1">
      <alignment horizontal="center" wrapText="1"/>
    </xf>
    <xf numFmtId="0" fontId="0" fillId="6" borderId="5" xfId="0" applyFill="1" applyBorder="1" applyAlignment="1">
      <alignment horizontal="center" wrapText="1"/>
    </xf>
    <xf numFmtId="0" fontId="0" fillId="6" borderId="6" xfId="0" applyFill="1" applyBorder="1" applyAlignment="1">
      <alignment horizontal="center" wrapText="1"/>
    </xf>
    <xf numFmtId="0" fontId="3" fillId="8" borderId="13" xfId="0" applyFont="1" applyFill="1" applyBorder="1" applyAlignment="1">
      <alignment horizontal="center" wrapText="1"/>
    </xf>
    <xf numFmtId="0" fontId="0" fillId="8" borderId="5" xfId="0" applyFill="1" applyBorder="1" applyAlignment="1">
      <alignment horizontal="center" wrapText="1"/>
    </xf>
    <xf numFmtId="0" fontId="0" fillId="8" borderId="6" xfId="0" applyFill="1" applyBorder="1" applyAlignment="1">
      <alignment horizontal="center" wrapText="1"/>
    </xf>
    <xf numFmtId="0" fontId="39" fillId="2" borderId="1" xfId="0" applyFont="1" applyFill="1" applyBorder="1" applyAlignment="1">
      <alignment horizontal="center" vertical="center" wrapText="1"/>
    </xf>
    <xf numFmtId="0" fontId="2" fillId="17" borderId="1" xfId="0" applyFont="1" applyFill="1" applyBorder="1" applyAlignment="1">
      <alignment horizontal="left" wrapText="1"/>
    </xf>
    <xf numFmtId="0" fontId="0" fillId="17" borderId="0" xfId="0" applyFill="1" applyBorder="1" applyAlignment="1">
      <alignment wrapText="1"/>
    </xf>
    <xf numFmtId="0" fontId="0" fillId="17" borderId="1" xfId="0" applyFill="1" applyBorder="1" applyAlignment="1">
      <alignment wrapText="1"/>
    </xf>
    <xf numFmtId="0" fontId="2" fillId="17" borderId="0" xfId="0" applyFont="1" applyFill="1" applyAlignment="1">
      <alignment horizontal="left" wrapText="1"/>
    </xf>
    <xf numFmtId="0" fontId="3" fillId="5" borderId="13" xfId="0" applyFont="1" applyFill="1"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39" fillId="0" borderId="41" xfId="0" applyFont="1" applyBorder="1" applyAlignment="1">
      <alignment horizontal="center" vertical="center" wrapText="1"/>
    </xf>
    <xf numFmtId="0" fontId="38" fillId="2" borderId="52" xfId="0" applyFont="1" applyFill="1" applyBorder="1" applyAlignment="1">
      <alignment horizontal="center" vertical="center" wrapText="1"/>
    </xf>
    <xf numFmtId="0" fontId="39" fillId="0" borderId="28" xfId="0" applyFont="1" applyBorder="1" applyAlignment="1">
      <alignment horizontal="center" vertical="center" wrapText="1"/>
    </xf>
    <xf numFmtId="0" fontId="3" fillId="3" borderId="13" xfId="0" applyFont="1" applyFill="1" applyBorder="1" applyAlignment="1">
      <alignment horizontal="center" wrapText="1"/>
    </xf>
    <xf numFmtId="0" fontId="0" fillId="3" borderId="5" xfId="0" applyFill="1" applyBorder="1" applyAlignment="1">
      <alignment horizontal="center" wrapText="1"/>
    </xf>
    <xf numFmtId="0" fontId="0" fillId="3" borderId="6" xfId="0" applyFill="1" applyBorder="1" applyAlignment="1">
      <alignment horizontal="center" wrapText="1"/>
    </xf>
    <xf numFmtId="0" fontId="3" fillId="9" borderId="13" xfId="0" applyFont="1" applyFill="1" applyBorder="1" applyAlignment="1">
      <alignment horizontal="center" wrapText="1"/>
    </xf>
    <xf numFmtId="0" fontId="0" fillId="9" borderId="5" xfId="0" applyFill="1" applyBorder="1" applyAlignment="1">
      <alignment horizontal="center" wrapText="1"/>
    </xf>
    <xf numFmtId="0" fontId="0" fillId="9" borderId="6" xfId="0" applyFill="1" applyBorder="1" applyAlignment="1">
      <alignment horizontal="center" wrapText="1"/>
    </xf>
    <xf numFmtId="0" fontId="3" fillId="2" borderId="13" xfId="0" applyFont="1" applyFill="1" applyBorder="1" applyAlignment="1">
      <alignment horizontal="center" wrapText="1"/>
    </xf>
    <xf numFmtId="0" fontId="0" fillId="2" borderId="5" xfId="0" applyFill="1" applyBorder="1" applyAlignment="1">
      <alignment horizontal="center" wrapText="1"/>
    </xf>
    <xf numFmtId="0" fontId="0" fillId="2" borderId="6" xfId="0" applyFill="1" applyBorder="1" applyAlignment="1">
      <alignment horizontal="center" wrapText="1"/>
    </xf>
    <xf numFmtId="0" fontId="3" fillId="7" borderId="13" xfId="0" applyFont="1" applyFill="1" applyBorder="1" applyAlignment="1">
      <alignment horizontal="center" wrapText="1"/>
    </xf>
    <xf numFmtId="0" fontId="0" fillId="7" borderId="5" xfId="0" applyFill="1" applyBorder="1" applyAlignment="1">
      <alignment horizontal="center" wrapText="1"/>
    </xf>
    <xf numFmtId="0" fontId="0" fillId="7" borderId="6" xfId="0" applyFill="1" applyBorder="1" applyAlignment="1">
      <alignment horizontal="center" wrapText="1"/>
    </xf>
    <xf numFmtId="0" fontId="3" fillId="4" borderId="13" xfId="0" applyFont="1" applyFill="1" applyBorder="1" applyAlignment="1">
      <alignment horizontal="center" wrapText="1"/>
    </xf>
    <xf numFmtId="0" fontId="0" fillId="4" borderId="5" xfId="0" applyFill="1" applyBorder="1" applyAlignment="1">
      <alignment horizontal="center" wrapText="1"/>
    </xf>
    <xf numFmtId="0" fontId="0" fillId="4" borderId="6" xfId="0" applyFill="1" applyBorder="1" applyAlignment="1">
      <alignment horizontal="center" wrapText="1"/>
    </xf>
    <xf numFmtId="0" fontId="46" fillId="0" borderId="138" xfId="0" applyFont="1" applyBorder="1" applyAlignment="1">
      <alignment horizontal="center" wrapText="1"/>
    </xf>
    <xf numFmtId="0" fontId="0" fillId="0" borderId="139" xfId="0" applyBorder="1" applyAlignment="1">
      <alignment wrapText="1"/>
    </xf>
    <xf numFmtId="0" fontId="47" fillId="0" borderId="0" xfId="0" applyFont="1" applyBorder="1" applyAlignment="1">
      <alignment horizontal="center" wrapText="1"/>
    </xf>
    <xf numFmtId="0" fontId="46" fillId="0" borderId="135" xfId="0" applyFont="1" applyBorder="1" applyAlignment="1">
      <alignment horizontal="center" wrapText="1"/>
    </xf>
    <xf numFmtId="0" fontId="0" fillId="0" borderId="136" xfId="0" applyBorder="1" applyAlignment="1">
      <alignment wrapText="1"/>
    </xf>
    <xf numFmtId="0" fontId="0" fillId="0" borderId="137" xfId="0" applyBorder="1" applyAlignment="1">
      <alignment wrapText="1"/>
    </xf>
    <xf numFmtId="0" fontId="0" fillId="0" borderId="136" xfId="0" applyBorder="1" applyAlignment="1">
      <alignment horizontal="center" wrapText="1"/>
    </xf>
    <xf numFmtId="0" fontId="0" fillId="0" borderId="137" xfId="0" applyBorder="1" applyAlignment="1">
      <alignment horizontal="center" wrapText="1"/>
    </xf>
    <xf numFmtId="0" fontId="37" fillId="13" borderId="0" xfId="4" applyFont="1" applyFill="1" applyBorder="1">
      <alignment horizontal="center" vertical="center"/>
    </xf>
    <xf numFmtId="0" fontId="38" fillId="2" borderId="77" xfId="0" applyFont="1" applyFill="1" applyBorder="1" applyAlignment="1">
      <alignment horizontal="center" vertical="center" wrapText="1"/>
    </xf>
    <xf numFmtId="0" fontId="0" fillId="0" borderId="20" xfId="0" applyBorder="1" applyAlignment="1">
      <alignment horizontal="center" vertical="center" wrapText="1"/>
    </xf>
    <xf numFmtId="0" fontId="58" fillId="17" borderId="2" xfId="0" applyFont="1" applyFill="1" applyBorder="1" applyAlignment="1">
      <alignment horizontal="center" wrapText="1"/>
    </xf>
    <xf numFmtId="0" fontId="0" fillId="17" borderId="2" xfId="0" applyFill="1" applyBorder="1" applyAlignment="1">
      <alignment horizontal="center" wrapText="1"/>
    </xf>
    <xf numFmtId="4" fontId="46" fillId="0" borderId="135" xfId="2" applyNumberFormat="1" applyFont="1" applyBorder="1" applyAlignment="1">
      <alignment horizontal="center" wrapText="1"/>
    </xf>
    <xf numFmtId="0" fontId="47" fillId="0" borderId="136" xfId="0" applyFont="1" applyBorder="1" applyAlignment="1">
      <alignment horizontal="center" wrapText="1"/>
    </xf>
    <xf numFmtId="4" fontId="47" fillId="0" borderId="138" xfId="0" applyNumberFormat="1" applyFont="1" applyBorder="1" applyAlignment="1">
      <alignment horizontal="right" wrapText="1"/>
    </xf>
    <xf numFmtId="0" fontId="0" fillId="0" borderId="0" xfId="0" applyBorder="1" applyAlignment="1">
      <alignment horizontal="right" wrapText="1"/>
    </xf>
    <xf numFmtId="0" fontId="38" fillId="2" borderId="37" xfId="0" applyFont="1" applyFill="1" applyBorder="1" applyAlignment="1">
      <alignment horizontal="center" vertical="center" wrapText="1"/>
    </xf>
    <xf numFmtId="0" fontId="2" fillId="0" borderId="152" xfId="6" applyFont="1" applyFill="1" applyBorder="1">
      <alignment horizontal="center" vertical="center"/>
    </xf>
    <xf numFmtId="0" fontId="2" fillId="0" borderId="18" xfId="6" applyFont="1" applyFill="1" applyBorder="1">
      <alignment horizontal="center" vertical="center"/>
    </xf>
    <xf numFmtId="0" fontId="47" fillId="0" borderId="141" xfId="0" applyFont="1" applyBorder="1" applyAlignment="1">
      <alignment horizontal="right" wrapText="1"/>
    </xf>
    <xf numFmtId="0" fontId="0" fillId="0" borderId="141" xfId="0" applyBorder="1" applyAlignment="1">
      <alignment horizontal="right" wrapText="1"/>
    </xf>
    <xf numFmtId="0" fontId="46" fillId="0" borderId="138" xfId="2" applyFont="1" applyBorder="1" applyAlignment="1">
      <alignment horizontal="center" wrapText="1"/>
    </xf>
    <xf numFmtId="0" fontId="0" fillId="0" borderId="0" xfId="0" applyBorder="1" applyAlignment="1">
      <alignment wrapText="1"/>
    </xf>
    <xf numFmtId="0" fontId="46" fillId="0" borderId="137" xfId="0" applyFont="1" applyBorder="1" applyAlignment="1">
      <alignment horizontal="center" vertical="center" wrapText="1"/>
    </xf>
    <xf numFmtId="0" fontId="0" fillId="0" borderId="139" xfId="0" applyBorder="1" applyAlignment="1">
      <alignment horizontal="center" vertical="center" wrapText="1"/>
    </xf>
    <xf numFmtId="0" fontId="46" fillId="0" borderId="136" xfId="0" applyFont="1" applyFill="1" applyBorder="1" applyAlignment="1">
      <alignment horizontal="center" vertical="center" wrapText="1"/>
    </xf>
    <xf numFmtId="0" fontId="47" fillId="0" borderId="136" xfId="0" applyFont="1" applyFill="1" applyBorder="1" applyAlignment="1">
      <alignment horizontal="center" vertical="center" wrapText="1"/>
    </xf>
    <xf numFmtId="0" fontId="46" fillId="0" borderId="136" xfId="0" applyFont="1" applyBorder="1" applyAlignment="1">
      <alignment horizontal="center" vertical="center" wrapText="1"/>
    </xf>
    <xf numFmtId="0" fontId="47" fillId="0" borderId="0" xfId="0" applyFont="1" applyBorder="1" applyAlignment="1">
      <alignment horizontal="center" vertical="center" wrapText="1"/>
    </xf>
    <xf numFmtId="0" fontId="46" fillId="0" borderId="0" xfId="0" applyFont="1" applyBorder="1" applyAlignment="1">
      <alignment horizontal="center" wrapText="1"/>
    </xf>
    <xf numFmtId="0" fontId="47" fillId="0" borderId="0" xfId="0" applyFont="1" applyBorder="1" applyAlignment="1">
      <alignment wrapText="1"/>
    </xf>
    <xf numFmtId="0" fontId="38" fillId="10" borderId="16" xfId="4" applyBorder="1">
      <alignment horizontal="center" vertical="center"/>
    </xf>
    <xf numFmtId="0" fontId="38" fillId="10" borderId="18" xfId="4" applyBorder="1">
      <alignment horizontal="center" vertical="center"/>
    </xf>
    <xf numFmtId="0" fontId="0" fillId="0" borderId="138" xfId="0" applyBorder="1" applyAlignment="1">
      <alignment horizontal="center" wrapText="1"/>
    </xf>
    <xf numFmtId="0" fontId="46"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xf numFmtId="0" fontId="0" fillId="0" borderId="136" xfId="0" applyFill="1" applyBorder="1" applyAlignment="1">
      <alignment horizontal="center" vertical="center" wrapText="1"/>
    </xf>
    <xf numFmtId="0" fontId="58" fillId="17" borderId="0" xfId="0" applyFont="1" applyFill="1" applyBorder="1" applyAlignment="1">
      <alignment vertical="center" wrapText="1"/>
    </xf>
    <xf numFmtId="0" fontId="0" fillId="17" borderId="0" xfId="0" applyFill="1" applyBorder="1" applyAlignment="1">
      <alignment vertical="center" wrapText="1"/>
    </xf>
    <xf numFmtId="0" fontId="39" fillId="0" borderId="50" xfId="0" applyFont="1" applyBorder="1" applyAlignment="1">
      <alignment horizontal="center" vertical="center" wrapText="1"/>
    </xf>
    <xf numFmtId="0" fontId="45" fillId="14" borderId="108" xfId="6" applyBorder="1">
      <alignment horizontal="center" vertical="center"/>
    </xf>
    <xf numFmtId="0" fontId="58" fillId="17" borderId="0" xfId="0" applyFont="1" applyFill="1" applyBorder="1" applyAlignment="1">
      <alignment horizontal="left" vertical="center" wrapText="1"/>
    </xf>
    <xf numFmtId="0" fontId="0" fillId="17" borderId="0" xfId="0" applyFill="1" applyBorder="1" applyAlignment="1">
      <alignment horizontal="left" vertical="center" wrapText="1"/>
    </xf>
    <xf numFmtId="0" fontId="45" fillId="14" borderId="103" xfId="6">
      <alignment horizontal="center" vertical="center"/>
    </xf>
    <xf numFmtId="0" fontId="38" fillId="10" borderId="39" xfId="4" applyFont="1" applyBorder="1" applyAlignment="1">
      <alignment horizontal="center" vertical="center" wrapText="1"/>
    </xf>
    <xf numFmtId="0" fontId="39" fillId="0" borderId="82" xfId="0" applyFont="1" applyBorder="1" applyAlignment="1">
      <alignment horizontal="center" vertical="center" wrapText="1"/>
    </xf>
    <xf numFmtId="0" fontId="0" fillId="0" borderId="0" xfId="0" applyBorder="1" applyAlignment="1">
      <alignment horizontal="center" vertical="center" wrapText="1"/>
    </xf>
    <xf numFmtId="0" fontId="2" fillId="11" borderId="139" xfId="0" applyFont="1" applyFill="1" applyBorder="1" applyAlignment="1">
      <alignment vertical="center" wrapText="1"/>
    </xf>
    <xf numFmtId="0" fontId="2" fillId="0" borderId="139" xfId="0" applyFont="1" applyBorder="1" applyAlignment="1">
      <alignment vertical="center" wrapText="1"/>
    </xf>
    <xf numFmtId="0" fontId="38" fillId="10" borderId="25" xfId="4" applyBorder="1" applyAlignment="1">
      <alignment horizontal="center" vertical="center" wrapText="1"/>
    </xf>
    <xf numFmtId="0" fontId="0" fillId="0" borderId="35" xfId="0" applyBorder="1" applyAlignment="1">
      <alignment horizontal="center" wrapText="1"/>
    </xf>
    <xf numFmtId="4" fontId="46" fillId="0" borderId="135" xfId="2" applyNumberFormat="1" applyFont="1" applyBorder="1" applyAlignment="1">
      <alignment horizontal="center" vertical="center" wrapText="1"/>
    </xf>
    <xf numFmtId="0" fontId="0" fillId="0" borderId="136" xfId="0" applyBorder="1" applyAlignment="1">
      <alignment horizontal="center" vertical="center" wrapText="1"/>
    </xf>
    <xf numFmtId="0" fontId="0" fillId="0" borderId="138" xfId="0" applyBorder="1" applyAlignment="1">
      <alignment horizontal="center" vertical="center" wrapText="1"/>
    </xf>
    <xf numFmtId="0" fontId="46" fillId="0" borderId="137" xfId="0" applyFont="1" applyFill="1" applyBorder="1" applyAlignment="1">
      <alignment horizontal="center" wrapText="1"/>
    </xf>
    <xf numFmtId="0" fontId="0" fillId="0" borderId="139" xfId="0" applyFill="1" applyBorder="1" applyAlignment="1">
      <alignment horizontal="center" wrapText="1"/>
    </xf>
    <xf numFmtId="0" fontId="38" fillId="17" borderId="0" xfId="0" applyFont="1" applyFill="1" applyBorder="1" applyAlignment="1">
      <alignment horizontal="left" wrapText="1"/>
    </xf>
    <xf numFmtId="0" fontId="0" fillId="17" borderId="0" xfId="0" applyFill="1" applyAlignment="1">
      <alignment horizontal="center" wrapText="1"/>
    </xf>
    <xf numFmtId="0" fontId="0" fillId="17" borderId="0" xfId="0" applyFill="1" applyBorder="1" applyAlignment="1">
      <alignment horizontal="center" wrapText="1"/>
    </xf>
    <xf numFmtId="0" fontId="0" fillId="17" borderId="2" xfId="0" applyFill="1" applyBorder="1" applyAlignment="1">
      <alignment wrapText="1"/>
    </xf>
    <xf numFmtId="0" fontId="38" fillId="10" borderId="69" xfId="4">
      <alignment horizontal="center" vertical="center"/>
    </xf>
    <xf numFmtId="0" fontId="46" fillId="0" borderId="135" xfId="0" applyFont="1" applyBorder="1" applyAlignment="1">
      <alignment horizontal="center" vertical="center" wrapText="1"/>
    </xf>
    <xf numFmtId="0" fontId="46" fillId="0" borderId="138" xfId="0" applyFont="1" applyBorder="1" applyAlignment="1">
      <alignment horizontal="center" vertical="center" wrapText="1"/>
    </xf>
    <xf numFmtId="0" fontId="46" fillId="0" borderId="135" xfId="0" applyFont="1" applyBorder="1" applyAlignment="1">
      <alignment horizontal="left" wrapText="1"/>
    </xf>
    <xf numFmtId="0" fontId="0" fillId="0" borderId="136" xfId="0" applyBorder="1" applyAlignment="1">
      <alignment horizontal="left" wrapText="1"/>
    </xf>
    <xf numFmtId="0" fontId="0" fillId="0" borderId="136" xfId="0" applyFill="1" applyBorder="1" applyAlignment="1">
      <alignment wrapText="1"/>
    </xf>
    <xf numFmtId="0" fontId="0" fillId="0" borderId="137" xfId="0" applyFill="1" applyBorder="1" applyAlignment="1">
      <alignment wrapText="1"/>
    </xf>
    <xf numFmtId="0" fontId="46" fillId="0" borderId="135" xfId="0" applyFont="1" applyFill="1" applyBorder="1" applyAlignment="1">
      <alignment horizontal="center" wrapText="1"/>
    </xf>
    <xf numFmtId="0" fontId="0" fillId="0" borderId="136" xfId="0" applyFill="1" applyBorder="1" applyAlignment="1">
      <alignment horizontal="center" wrapText="1"/>
    </xf>
    <xf numFmtId="0" fontId="46" fillId="0" borderId="0" xfId="0" applyFont="1" applyAlignment="1">
      <alignment horizontal="center" wrapText="1"/>
    </xf>
    <xf numFmtId="0" fontId="46"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148" xfId="0" applyBorder="1" applyAlignment="1">
      <alignment wrapText="1"/>
    </xf>
    <xf numFmtId="0" fontId="46" fillId="0" borderId="150" xfId="0" applyFont="1" applyBorder="1" applyAlignment="1">
      <alignment horizontal="center" wrapText="1"/>
    </xf>
    <xf numFmtId="0" fontId="46" fillId="0" borderId="0" xfId="0" applyFont="1" applyBorder="1" applyAlignment="1">
      <alignment horizontal="center" vertical="center" wrapText="1"/>
    </xf>
    <xf numFmtId="0" fontId="0" fillId="0" borderId="0" xfId="0" applyBorder="1" applyAlignment="1">
      <alignment horizontal="center" wrapText="1"/>
    </xf>
    <xf numFmtId="0" fontId="0" fillId="0" borderId="0" xfId="0" applyBorder="1" applyAlignment="1"/>
    <xf numFmtId="4" fontId="47" fillId="0" borderId="141" xfId="0" applyNumberFormat="1" applyFont="1" applyBorder="1" applyAlignment="1">
      <alignment horizontal="center" wrapText="1"/>
    </xf>
    <xf numFmtId="0" fontId="47" fillId="0" borderId="141" xfId="0" applyFont="1" applyBorder="1" applyAlignment="1">
      <alignment wrapText="1"/>
    </xf>
    <xf numFmtId="39" fontId="2" fillId="0" borderId="36" xfId="1" applyNumberFormat="1" applyFont="1" applyFill="1" applyBorder="1" applyAlignment="1">
      <alignment horizontal="center" vertical="center" wrapText="1"/>
    </xf>
    <xf numFmtId="0" fontId="2" fillId="0" borderId="24" xfId="0" applyFont="1" applyFill="1" applyBorder="1" applyAlignment="1">
      <alignment horizontal="center" vertical="center" wrapText="1"/>
    </xf>
    <xf numFmtId="39" fontId="2" fillId="0" borderId="10" xfId="1" applyNumberFormat="1" applyFont="1" applyFill="1" applyBorder="1" applyAlignment="1">
      <alignment horizontal="center" vertical="center" wrapText="1"/>
    </xf>
    <xf numFmtId="0" fontId="2" fillId="0" borderId="11" xfId="0" applyFont="1" applyFill="1" applyBorder="1" applyAlignment="1">
      <alignment horizontal="center" vertical="center" wrapText="1"/>
    </xf>
    <xf numFmtId="0" fontId="38" fillId="10" borderId="70" xfId="4" applyBorder="1" applyAlignment="1">
      <alignment vertical="center" wrapText="1"/>
    </xf>
    <xf numFmtId="0" fontId="0" fillId="0" borderId="17" xfId="0" applyBorder="1" applyAlignment="1">
      <alignment wrapText="1"/>
    </xf>
    <xf numFmtId="0" fontId="0" fillId="0" borderId="18" xfId="0" applyBorder="1" applyAlignment="1">
      <alignment wrapText="1"/>
    </xf>
    <xf numFmtId="0" fontId="2" fillId="0" borderId="68" xfId="0" applyFont="1" applyBorder="1" applyAlignment="1">
      <alignment wrapText="1"/>
    </xf>
    <xf numFmtId="0" fontId="2" fillId="0" borderId="0" xfId="0" applyFont="1" applyBorder="1" applyAlignment="1">
      <alignment wrapText="1"/>
    </xf>
    <xf numFmtId="0" fontId="0" fillId="0" borderId="3" xfId="0" applyBorder="1" applyAlignment="1">
      <alignment wrapText="1"/>
    </xf>
    <xf numFmtId="0" fontId="2" fillId="0" borderId="3" xfId="0" applyFont="1" applyBorder="1" applyAlignment="1">
      <alignment wrapText="1"/>
    </xf>
    <xf numFmtId="0" fontId="38" fillId="10" borderId="16" xfId="4" applyBorder="1" applyAlignment="1">
      <alignment horizontal="center" vertical="center" wrapText="1"/>
    </xf>
    <xf numFmtId="0" fontId="0" fillId="0" borderId="17" xfId="0" applyBorder="1" applyAlignment="1">
      <alignment horizontal="center" vertical="center" wrapText="1"/>
    </xf>
    <xf numFmtId="0" fontId="38" fillId="2" borderId="159" xfId="0" applyFont="1" applyFill="1" applyBorder="1" applyAlignment="1">
      <alignment horizontal="center" vertical="center" wrapText="1"/>
    </xf>
    <xf numFmtId="0" fontId="38" fillId="2" borderId="160" xfId="0" applyFont="1" applyFill="1" applyBorder="1" applyAlignment="1">
      <alignment horizontal="center" vertical="center" wrapText="1"/>
    </xf>
    <xf numFmtId="0" fontId="38" fillId="2" borderId="161" xfId="0" applyFont="1" applyFill="1" applyBorder="1" applyAlignment="1">
      <alignment horizontal="center" vertical="center" wrapText="1"/>
    </xf>
    <xf numFmtId="0" fontId="45" fillId="14" borderId="156" xfId="6" applyBorder="1">
      <alignment horizontal="center" vertical="center"/>
    </xf>
    <xf numFmtId="0" fontId="45" fillId="14" borderId="157" xfId="6" applyBorder="1">
      <alignment horizontal="center" vertical="center"/>
    </xf>
    <xf numFmtId="0" fontId="45" fillId="14" borderId="158" xfId="6" applyBorder="1">
      <alignment horizontal="center" vertical="center"/>
    </xf>
    <xf numFmtId="0" fontId="2" fillId="0" borderId="82" xfId="0" applyFont="1" applyBorder="1" applyAlignment="1">
      <alignment horizontal="center" wrapText="1"/>
    </xf>
    <xf numFmtId="0" fontId="0" fillId="0" borderId="62" xfId="0" applyBorder="1" applyAlignment="1">
      <alignment horizontal="center" wrapText="1"/>
    </xf>
    <xf numFmtId="0" fontId="2" fillId="0" borderId="198" xfId="0" applyFont="1" applyBorder="1" applyAlignment="1">
      <alignment horizontal="center" wrapText="1"/>
    </xf>
    <xf numFmtId="0" fontId="0" fillId="0" borderId="61" xfId="0" applyBorder="1" applyAlignment="1">
      <alignment horizontal="center" wrapText="1"/>
    </xf>
    <xf numFmtId="0" fontId="2" fillId="0" borderId="199" xfId="0" applyFont="1" applyBorder="1" applyAlignment="1">
      <alignment wrapText="1"/>
    </xf>
    <xf numFmtId="0" fontId="2" fillId="0" borderId="2" xfId="0" applyFont="1" applyBorder="1" applyAlignment="1">
      <alignment wrapText="1"/>
    </xf>
    <xf numFmtId="0" fontId="2" fillId="0" borderId="118" xfId="0" applyFont="1" applyBorder="1" applyAlignment="1">
      <alignment wrapText="1"/>
    </xf>
    <xf numFmtId="0" fontId="46" fillId="0" borderId="137" xfId="0" applyFont="1" applyBorder="1" applyAlignment="1">
      <alignment horizontal="center" wrapText="1"/>
    </xf>
    <xf numFmtId="0" fontId="47" fillId="0" borderId="136" xfId="0" applyFont="1" applyBorder="1" applyAlignment="1">
      <alignment wrapText="1"/>
    </xf>
    <xf numFmtId="0" fontId="47" fillId="0" borderId="137" xfId="0" applyFont="1" applyBorder="1" applyAlignment="1">
      <alignment wrapText="1"/>
    </xf>
    <xf numFmtId="0" fontId="46" fillId="0" borderId="136" xfId="0" applyFont="1" applyBorder="1" applyAlignment="1">
      <alignment horizontal="center" wrapText="1"/>
    </xf>
    <xf numFmtId="4" fontId="47" fillId="0" borderId="0" xfId="0" applyNumberFormat="1" applyFont="1" applyBorder="1" applyAlignment="1">
      <alignment horizontal="center" wrapText="1"/>
    </xf>
    <xf numFmtId="0" fontId="43" fillId="3" borderId="97" xfId="0" applyFont="1" applyFill="1" applyBorder="1" applyAlignment="1">
      <alignment horizontal="center" wrapText="1"/>
    </xf>
    <xf numFmtId="0" fontId="43" fillId="3" borderId="99" xfId="0" applyFont="1" applyFill="1" applyBorder="1" applyAlignment="1">
      <alignment horizontal="center" wrapText="1"/>
    </xf>
    <xf numFmtId="0" fontId="43" fillId="3" borderId="98" xfId="0" applyFont="1" applyFill="1" applyBorder="1" applyAlignment="1">
      <alignment horizontal="center" wrapText="1"/>
    </xf>
    <xf numFmtId="0" fontId="2" fillId="17" borderId="0" xfId="0" applyFont="1" applyFill="1" applyBorder="1" applyAlignment="1">
      <alignment wrapText="1"/>
    </xf>
    <xf numFmtId="0" fontId="38" fillId="10" borderId="69" xfId="0" applyFont="1" applyFill="1" applyBorder="1" applyAlignment="1">
      <alignment horizontal="center" wrapText="1"/>
    </xf>
    <xf numFmtId="0" fontId="39" fillId="0" borderId="51" xfId="0" applyFont="1" applyBorder="1" applyAlignment="1">
      <alignment horizontal="center" vertical="center" wrapText="1"/>
    </xf>
    <xf numFmtId="0" fontId="38" fillId="2" borderId="67" xfId="0" applyFont="1" applyFill="1" applyBorder="1" applyAlignment="1">
      <alignment horizontal="center" vertical="center" wrapText="1"/>
    </xf>
    <xf numFmtId="0" fontId="39" fillId="0" borderId="68" xfId="0" applyFont="1" applyBorder="1" applyAlignment="1">
      <alignment horizontal="center" vertical="center" wrapText="1"/>
    </xf>
    <xf numFmtId="49" fontId="2" fillId="0" borderId="48" xfId="0" applyNumberFormat="1" applyFont="1" applyBorder="1" applyAlignment="1">
      <alignment horizontal="center" vertical="center" wrapText="1"/>
    </xf>
    <xf numFmtId="0" fontId="2" fillId="0" borderId="24" xfId="0" applyFont="1" applyBorder="1" applyAlignment="1">
      <alignment horizontal="center" vertical="center"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38" fillId="10" borderId="16" xfId="0" applyFont="1" applyFill="1" applyBorder="1" applyAlignment="1">
      <alignment horizontal="center" wrapText="1"/>
    </xf>
    <xf numFmtId="0" fontId="39" fillId="0" borderId="71" xfId="0" applyFont="1" applyBorder="1" applyAlignment="1">
      <alignment horizontal="center" vertical="center" wrapText="1"/>
    </xf>
    <xf numFmtId="0" fontId="0" fillId="0" borderId="24" xfId="0" applyBorder="1" applyAlignment="1">
      <alignment vertical="center" wrapText="1"/>
    </xf>
    <xf numFmtId="0" fontId="2" fillId="0" borderId="48" xfId="0" applyFont="1" applyBorder="1" applyAlignment="1">
      <alignment horizontal="left" wrapText="1"/>
    </xf>
    <xf numFmtId="0" fontId="0" fillId="0" borderId="24" xfId="0" applyBorder="1" applyAlignment="1">
      <alignment wrapText="1"/>
    </xf>
    <xf numFmtId="0" fontId="0" fillId="0" borderId="24" xfId="0" applyBorder="1" applyAlignment="1">
      <alignment horizontal="center" vertical="center" wrapText="1"/>
    </xf>
  </cellXfs>
  <cellStyles count="8">
    <cellStyle name="Comma" xfId="1" builtinId="3"/>
    <cellStyle name="Comma 2" xfId="3"/>
    <cellStyle name="Dropdown List" xfId="6"/>
    <cellStyle name="Hyperlink" xfId="7" builtinId="8"/>
    <cellStyle name="Normal" xfId="0" builtinId="0"/>
    <cellStyle name="Normal 2" xfId="2"/>
    <cellStyle name="Table Heading" xfId="4"/>
    <cellStyle name="User Input" xfId="5"/>
  </cellStyles>
  <dxfs count="31">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strike val="0"/>
        <color rgb="FFC00000"/>
      </font>
    </dxf>
    <dxf>
      <font>
        <color rgb="FFC00000"/>
      </font>
    </dxf>
    <dxf>
      <font>
        <color rgb="FFC00000"/>
      </font>
    </dxf>
    <dxf>
      <font>
        <color rgb="FFC00000"/>
      </font>
    </dxf>
    <dxf>
      <font>
        <strike val="0"/>
        <color rgb="FFC00000"/>
      </font>
    </dxf>
    <dxf>
      <font>
        <strike val="0"/>
        <color rgb="FFC00000"/>
      </font>
    </dxf>
    <dxf>
      <font>
        <strike val="0"/>
        <color rgb="FFC00000"/>
      </font>
    </dxf>
    <dxf>
      <font>
        <strike val="0"/>
        <color rgb="FFC00000"/>
      </font>
    </dxf>
    <dxf>
      <font>
        <color rgb="FFC00000"/>
      </font>
    </dxf>
    <dxf>
      <font>
        <color rgb="FFC00000"/>
      </font>
    </dxf>
    <dxf>
      <font>
        <color rgb="FFC00000"/>
      </font>
    </dxf>
    <dxf>
      <font>
        <strike val="0"/>
        <color rgb="FFC00000"/>
      </font>
    </dxf>
    <dxf>
      <font>
        <strike val="0"/>
      </font>
      <numFmt numFmtId="0" formatCode="General"/>
      <border>
        <left/>
        <right/>
        <top/>
        <bottom/>
        <vertical/>
        <horizontal/>
      </border>
    </dxf>
    <dxf>
      <font>
        <strike val="0"/>
      </font>
      <numFmt numFmtId="0" formatCode="General"/>
      <border>
        <left/>
        <right/>
        <top/>
        <bottom/>
        <vertical/>
        <horizontal/>
      </border>
    </dxf>
    <dxf>
      <font>
        <strike val="0"/>
      </font>
      <numFmt numFmtId="0" formatCode="General"/>
      <border>
        <left/>
        <right/>
        <top/>
        <bottom/>
        <vertical/>
        <horizontal/>
      </border>
    </dxf>
    <dxf>
      <font>
        <strike val="0"/>
      </font>
      <numFmt numFmtId="0" formatCode="General"/>
      <border>
        <left/>
        <right/>
        <top/>
        <bottom/>
        <vertical/>
        <horizontal/>
      </border>
    </dxf>
    <dxf>
      <font>
        <strike val="0"/>
      </font>
      <numFmt numFmtId="0" formatCode="General"/>
      <border>
        <left/>
        <right/>
        <top/>
        <bottom/>
        <vertical/>
        <horizontal/>
      </border>
    </dxf>
    <dxf>
      <font>
        <color rgb="FFC00000"/>
      </font>
    </dxf>
    <dxf>
      <font>
        <strike val="0"/>
      </font>
      <numFmt numFmtId="0" formatCode="General"/>
      <border>
        <left/>
        <right/>
        <top/>
        <bottom/>
        <vertical/>
        <horizontal/>
      </border>
    </dxf>
    <dxf>
      <font>
        <strike val="0"/>
      </font>
      <numFmt numFmtId="0" formatCode="General"/>
      <border>
        <left/>
        <right/>
        <top/>
        <bottom/>
        <vertical/>
        <horizontal/>
      </border>
    </dxf>
    <dxf>
      <font>
        <strike val="0"/>
      </font>
      <numFmt numFmtId="0" formatCode="General"/>
      <border>
        <left/>
        <right/>
        <top/>
        <bottom/>
        <vertical/>
        <horizontal/>
      </border>
    </dxf>
    <dxf>
      <font>
        <strike val="0"/>
      </font>
      <numFmt numFmtId="0" formatCode="General"/>
      <border>
        <left/>
        <right/>
        <top/>
        <bottom/>
        <vertical/>
        <horizontal/>
      </border>
    </dxf>
    <dxf>
      <numFmt numFmtId="2" formatCode="0.00"/>
    </dxf>
  </dxfs>
  <tableStyles count="0" defaultTableStyle="TableStyleMedium9" defaultPivotStyle="PivotStyleLight16"/>
  <colors>
    <mruColors>
      <color rgb="FFFFFFCC"/>
      <color rgb="FFFFFF99"/>
      <color rgb="FF003300"/>
      <color rgb="FFF6E7E6"/>
      <color rgb="FF592A03"/>
      <color rgb="FF009900"/>
      <color rgb="FFFF6600"/>
      <color rgb="FF006600"/>
      <color rgb="FF669900"/>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00"/>
              <a:t>Proposed Cross-Section</a:t>
            </a:r>
            <a:r>
              <a:rPr lang="en-US" sz="1000" baseline="0"/>
              <a:t> </a:t>
            </a:r>
            <a:r>
              <a:rPr lang="en-US" sz="1000"/>
              <a:t>and Structure</a:t>
            </a:r>
            <a:r>
              <a:rPr lang="en-US" sz="1000" baseline="0"/>
              <a:t> </a:t>
            </a:r>
            <a:r>
              <a:rPr lang="en-US" sz="1000"/>
              <a:t>Geometry (Looking D/S)</a:t>
            </a:r>
          </a:p>
        </c:rich>
      </c:tx>
      <c:layout/>
    </c:title>
    <c:plotArea>
      <c:layout>
        <c:manualLayout>
          <c:layoutTarget val="inner"/>
          <c:xMode val="edge"/>
          <c:yMode val="edge"/>
          <c:x val="9.4184643723488545E-2"/>
          <c:y val="0.17120950634595331"/>
          <c:w val="0.8653160632515664"/>
          <c:h val="0.64013339086038901"/>
        </c:manualLayout>
      </c:layout>
      <c:scatterChart>
        <c:scatterStyle val="smoothMarker"/>
        <c:ser>
          <c:idx val="0"/>
          <c:order val="0"/>
          <c:tx>
            <c:v>Geometry</c:v>
          </c:tx>
          <c:spPr>
            <a:ln>
              <a:solidFill>
                <a:schemeClr val="bg2">
                  <a:lumMod val="25000"/>
                </a:schemeClr>
              </a:solidFill>
            </a:ln>
            <a:effectLst>
              <a:outerShdw blurRad="50800" dist="38100" dir="2700000" algn="tl" rotWithShape="0">
                <a:prstClr val="black">
                  <a:alpha val="40000"/>
                </a:prstClr>
              </a:outerShdw>
            </a:effectLst>
          </c:spPr>
          <c:marker>
            <c:symbol val="diamond"/>
            <c:size val="3"/>
            <c:spPr>
              <a:solidFill>
                <a:schemeClr val="bg2">
                  <a:lumMod val="50000"/>
                </a:schemeClr>
              </a:solidFill>
              <a:ln>
                <a:solidFill>
                  <a:schemeClr val="bg2">
                    <a:lumMod val="25000"/>
                  </a:schemeClr>
                </a:solidFill>
              </a:ln>
              <a:effectLst>
                <a:outerShdw blurRad="50800" dist="38100" dir="2700000" algn="tl" rotWithShape="0">
                  <a:prstClr val="black">
                    <a:alpha val="40000"/>
                  </a:prstClr>
                </a:outerShdw>
              </a:effectLst>
            </c:spPr>
          </c:marker>
          <c:xVal>
            <c:numRef>
              <c:f>'6-Single Log Design'!$B$13:$B$19</c:f>
              <c:numCache>
                <c:formatCode>#,##0.0</c:formatCode>
                <c:ptCount val="7"/>
              </c:numCache>
            </c:numRef>
          </c:xVal>
          <c:yVal>
            <c:numRef>
              <c:f>'6-Single Log Design'!$C$13:$C$19</c:f>
              <c:numCache>
                <c:formatCode>#,##0.00</c:formatCode>
                <c:ptCount val="7"/>
              </c:numCache>
            </c:numRef>
          </c:yVal>
          <c:smooth val="1"/>
        </c:ser>
        <c:ser>
          <c:idx val="1"/>
          <c:order val="1"/>
          <c:tx>
            <c:v>WS</c:v>
          </c:tx>
          <c:spPr>
            <a:ln w="19050">
              <a:solidFill>
                <a:schemeClr val="accent1"/>
              </a:solidFill>
            </a:ln>
          </c:spPr>
          <c:marker>
            <c:symbol val="none"/>
          </c:marker>
          <c:xVal>
            <c:numRef>
              <c:f>'6-Single Log Design'!$AD$8:$AD$9</c:f>
              <c:numCache>
                <c:formatCode>0.0</c:formatCode>
                <c:ptCount val="2"/>
                <c:pt idx="0">
                  <c:v>0</c:v>
                </c:pt>
                <c:pt idx="1">
                  <c:v>0</c:v>
                </c:pt>
              </c:numCache>
            </c:numRef>
          </c:xVal>
          <c:yVal>
            <c:numRef>
              <c:f>'6-Single Log Design'!$AE$8:$AE$9</c:f>
              <c:numCache>
                <c:formatCode>#,##0.00</c:formatCode>
                <c:ptCount val="2"/>
                <c:pt idx="0">
                  <c:v>0</c:v>
                </c:pt>
                <c:pt idx="1">
                  <c:v>0</c:v>
                </c:pt>
              </c:numCache>
            </c:numRef>
          </c:yVal>
          <c:smooth val="1"/>
        </c:ser>
        <c:ser>
          <c:idx val="2"/>
          <c:order val="2"/>
          <c:tx>
            <c:v>Large Wood</c:v>
          </c:tx>
          <c:spPr>
            <a:ln>
              <a:solidFill>
                <a:srgbClr val="9E4B06"/>
              </a:solidFill>
            </a:ln>
          </c:spPr>
          <c:marker>
            <c:symbol val="none"/>
          </c:marker>
          <c:dPt>
            <c:idx val="2"/>
            <c:spPr>
              <a:ln>
                <a:solidFill>
                  <a:srgbClr val="9E4B06"/>
                </a:solidFill>
                <a:headEnd type="none"/>
              </a:ln>
              <a:effectLst/>
            </c:spPr>
          </c:dPt>
          <c:xVal>
            <c:numRef>
              <c:f>'6-Single Log Design'!$T$10:$T$15</c:f>
              <c:numCache>
                <c:formatCode>#,##0.00</c:formatCode>
                <c:ptCount val="6"/>
                <c:pt idx="0">
                  <c:v>0</c:v>
                </c:pt>
                <c:pt idx="1">
                  <c:v>0</c:v>
                </c:pt>
                <c:pt idx="2">
                  <c:v>0</c:v>
                </c:pt>
                <c:pt idx="3">
                  <c:v>0</c:v>
                </c:pt>
                <c:pt idx="4">
                  <c:v>0</c:v>
                </c:pt>
                <c:pt idx="5">
                  <c:v>0</c:v>
                </c:pt>
              </c:numCache>
            </c:numRef>
          </c:xVal>
          <c:yVal>
            <c:numRef>
              <c:f>'6-Single Log Design'!$U$10:$U$15</c:f>
              <c:numCache>
                <c:formatCode>#,##0.00</c:formatCode>
                <c:ptCount val="6"/>
                <c:pt idx="0">
                  <c:v>0</c:v>
                </c:pt>
                <c:pt idx="1">
                  <c:v>0</c:v>
                </c:pt>
                <c:pt idx="2">
                  <c:v>0</c:v>
                </c:pt>
                <c:pt idx="3">
                  <c:v>0</c:v>
                </c:pt>
                <c:pt idx="4">
                  <c:v>0</c:v>
                </c:pt>
                <c:pt idx="5">
                  <c:v>0</c:v>
                </c:pt>
              </c:numCache>
            </c:numRef>
          </c:yVal>
        </c:ser>
        <c:ser>
          <c:idx val="3"/>
          <c:order val="3"/>
          <c:tx>
            <c:v>Rootwad</c:v>
          </c:tx>
          <c:spPr>
            <a:ln>
              <a:solidFill>
                <a:schemeClr val="accent6">
                  <a:lumMod val="75000"/>
                </a:schemeClr>
              </a:solidFill>
            </a:ln>
          </c:spPr>
          <c:marker>
            <c:symbol val="none"/>
          </c:marker>
          <c:xVal>
            <c:numRef>
              <c:f>'6-Single Log Design'!$T$19:$T$27</c:f>
              <c:numCache>
                <c:formatCode>#,##0.00</c:formatCode>
                <c:ptCount val="9"/>
                <c:pt idx="0">
                  <c:v>0</c:v>
                </c:pt>
                <c:pt idx="1">
                  <c:v>0</c:v>
                </c:pt>
                <c:pt idx="2">
                  <c:v>0</c:v>
                </c:pt>
                <c:pt idx="3">
                  <c:v>0</c:v>
                </c:pt>
                <c:pt idx="4">
                  <c:v>0</c:v>
                </c:pt>
                <c:pt idx="5">
                  <c:v>0</c:v>
                </c:pt>
                <c:pt idx="6">
                  <c:v>0</c:v>
                </c:pt>
                <c:pt idx="7">
                  <c:v>0</c:v>
                </c:pt>
                <c:pt idx="8">
                  <c:v>0</c:v>
                </c:pt>
              </c:numCache>
            </c:numRef>
          </c:xVal>
          <c:yVal>
            <c:numRef>
              <c:f>'6-Single Log Design'!$U$19:$U$27</c:f>
              <c:numCache>
                <c:formatCode>#,##0.00</c:formatCode>
                <c:ptCount val="9"/>
                <c:pt idx="0">
                  <c:v>0</c:v>
                </c:pt>
                <c:pt idx="1">
                  <c:v>0</c:v>
                </c:pt>
                <c:pt idx="2">
                  <c:v>0</c:v>
                </c:pt>
                <c:pt idx="3">
                  <c:v>0</c:v>
                </c:pt>
                <c:pt idx="4">
                  <c:v>0</c:v>
                </c:pt>
                <c:pt idx="5">
                  <c:v>0</c:v>
                </c:pt>
                <c:pt idx="6">
                  <c:v>0</c:v>
                </c:pt>
                <c:pt idx="7">
                  <c:v>0</c:v>
                </c:pt>
                <c:pt idx="8">
                  <c:v>0</c:v>
                </c:pt>
              </c:numCache>
            </c:numRef>
          </c:yVal>
          <c:smooth val="1"/>
        </c:ser>
        <c:ser>
          <c:idx val="4"/>
          <c:order val="4"/>
          <c:tx>
            <c:strRef>
              <c:f>'6-Single Log Design'!$AC$12</c:f>
              <c:strCache>
                <c:ptCount val="1"/>
                <c:pt idx="0">
                  <c:v>WSE</c:v>
                </c:pt>
              </c:strCache>
            </c:strRef>
          </c:tx>
          <c:marker>
            <c:symbol val="triangle"/>
            <c:size val="5"/>
          </c:marker>
          <c:dLbls>
            <c:dLbl>
              <c:idx val="0"/>
              <c:layout>
                <c:manualLayout>
                  <c:x val="-4.4390921723020005E-2"/>
                  <c:y val="-6.9831129599366118E-2"/>
                </c:manualLayout>
              </c:layout>
              <c:tx>
                <c:rich>
                  <a:bodyPr/>
                  <a:lstStyle/>
                  <a:p>
                    <a:r>
                      <a:rPr lang="en-US" sz="800" baseline="0">
                        <a:solidFill>
                          <a:schemeClr val="accent1"/>
                        </a:solidFill>
                      </a:rPr>
                      <a:t>WSE</a:t>
                    </a:r>
                  </a:p>
                </c:rich>
              </c:tx>
              <c:dLblPos val="r"/>
              <c:showSerName val="1"/>
            </c:dLbl>
            <c:dLblPos val="t"/>
            <c:showSerName val="1"/>
          </c:dLbls>
          <c:xVal>
            <c:numRef>
              <c:f>'6-Single Log Design'!$AD$12</c:f>
              <c:numCache>
                <c:formatCode>0.0</c:formatCode>
                <c:ptCount val="1"/>
                <c:pt idx="0">
                  <c:v>0</c:v>
                </c:pt>
              </c:numCache>
            </c:numRef>
          </c:xVal>
          <c:yVal>
            <c:numRef>
              <c:f>'6-Single Log Design'!$AE$12</c:f>
              <c:numCache>
                <c:formatCode>0.00</c:formatCode>
                <c:ptCount val="1"/>
                <c:pt idx="0">
                  <c:v>0</c:v>
                </c:pt>
              </c:numCache>
            </c:numRef>
          </c:yVal>
          <c:smooth val="1"/>
        </c:ser>
        <c:ser>
          <c:idx val="5"/>
          <c:order val="5"/>
          <c:tx>
            <c:strRef>
              <c:f>'6-Single Log Design'!$AC$15</c:f>
              <c:strCache>
                <c:ptCount val="1"/>
                <c:pt idx="0">
                  <c:v>LB</c:v>
                </c:pt>
              </c:strCache>
            </c:strRef>
          </c:tx>
          <c:dPt>
            <c:idx val="0"/>
            <c:marker>
              <c:symbol val="none"/>
            </c:marker>
            <c:spPr>
              <a:ln>
                <a:noFill/>
              </a:ln>
            </c:spPr>
          </c:dPt>
          <c:dLbls>
            <c:dLbl>
              <c:idx val="0"/>
              <c:layout>
                <c:manualLayout>
                  <c:x val="-3.5966386554621851E-2"/>
                  <c:y val="-7.4626727083642971E-2"/>
                </c:manualLayout>
              </c:layout>
              <c:tx>
                <c:rich>
                  <a:bodyPr/>
                  <a:lstStyle/>
                  <a:p>
                    <a:r>
                      <a:rPr lang="en-US" sz="900" baseline="0">
                        <a:solidFill>
                          <a:schemeClr val="bg2">
                            <a:lumMod val="25000"/>
                          </a:schemeClr>
                        </a:solidFill>
                      </a:rPr>
                      <a:t>LB</a:t>
                    </a:r>
                  </a:p>
                </c:rich>
              </c:tx>
              <c:dLblPos val="r"/>
              <c:showSerName val="1"/>
            </c:dLbl>
            <c:dLblPos val="t"/>
            <c:showSerName val="1"/>
          </c:dLbls>
          <c:xVal>
            <c:numRef>
              <c:f>'6-Single Log Design'!$AD$15</c:f>
            </c:numRef>
          </c:xVal>
          <c:yVal>
            <c:numRef>
              <c:f>'6-Single Log Design'!$AE$15</c:f>
              <c:numCache>
                <c:formatCode>0.00</c:formatCode>
                <c:ptCount val="1"/>
                <c:pt idx="0">
                  <c:v>0</c:v>
                </c:pt>
              </c:numCache>
            </c:numRef>
          </c:yVal>
          <c:smooth val="1"/>
        </c:ser>
        <c:ser>
          <c:idx val="6"/>
          <c:order val="6"/>
          <c:tx>
            <c:strRef>
              <c:f>'6-Single Log Design'!$AC$16</c:f>
              <c:strCache>
                <c:ptCount val="1"/>
                <c:pt idx="0">
                  <c:v>RB</c:v>
                </c:pt>
              </c:strCache>
            </c:strRef>
          </c:tx>
          <c:spPr>
            <a:ln>
              <a:noFill/>
            </a:ln>
          </c:spPr>
          <c:marker>
            <c:symbol val="none"/>
          </c:marker>
          <c:dLbls>
            <c:dLbl>
              <c:idx val="0"/>
              <c:layout>
                <c:manualLayout>
                  <c:x val="-3.7507002801120418E-2"/>
                  <c:y val="-7.462672708364293E-2"/>
                </c:manualLayout>
              </c:layout>
              <c:tx>
                <c:rich>
                  <a:bodyPr/>
                  <a:lstStyle/>
                  <a:p>
                    <a:r>
                      <a:rPr lang="en-US" sz="900" baseline="0">
                        <a:solidFill>
                          <a:schemeClr val="bg2">
                            <a:lumMod val="25000"/>
                          </a:schemeClr>
                        </a:solidFill>
                      </a:rPr>
                      <a:t>RB</a:t>
                    </a:r>
                  </a:p>
                </c:rich>
              </c:tx>
              <c:dLblPos val="r"/>
              <c:showSerName val="1"/>
            </c:dLbl>
            <c:spPr>
              <a:noFill/>
              <a:ln>
                <a:noFill/>
              </a:ln>
            </c:spPr>
            <c:dLblPos val="t"/>
            <c:showSerName val="1"/>
          </c:dLbls>
          <c:xVal>
            <c:numRef>
              <c:f>'6-Single Log Design'!$AD$16</c:f>
            </c:numRef>
          </c:xVal>
          <c:yVal>
            <c:numRef>
              <c:f>'6-Single Log Design'!$AE$16</c:f>
              <c:numCache>
                <c:formatCode>0.00</c:formatCode>
                <c:ptCount val="1"/>
                <c:pt idx="0">
                  <c:v>0</c:v>
                </c:pt>
              </c:numCache>
            </c:numRef>
          </c:yVal>
          <c:smooth val="1"/>
        </c:ser>
        <c:ser>
          <c:idx val="7"/>
          <c:order val="7"/>
          <c:tx>
            <c:v>Boulder1</c:v>
          </c:tx>
          <c:spPr>
            <a:ln>
              <a:solidFill>
                <a:schemeClr val="tx1">
                  <a:lumMod val="75000"/>
                  <a:lumOff val="25000"/>
                </a:schemeClr>
              </a:solidFill>
            </a:ln>
          </c:spPr>
          <c:marker>
            <c:symbol val="none"/>
          </c:marker>
          <c:xVal>
            <c:numRef>
              <c:f>'6-Single Log Design'!$AB$93:$AB$101</c:f>
              <c:numCache>
                <c:formatCode>0.00</c:formatCode>
                <c:ptCount val="9"/>
                <c:pt idx="0">
                  <c:v>0</c:v>
                </c:pt>
                <c:pt idx="1">
                  <c:v>0</c:v>
                </c:pt>
                <c:pt idx="2">
                  <c:v>0</c:v>
                </c:pt>
                <c:pt idx="3">
                  <c:v>0</c:v>
                </c:pt>
                <c:pt idx="4">
                  <c:v>0</c:v>
                </c:pt>
                <c:pt idx="5">
                  <c:v>0</c:v>
                </c:pt>
                <c:pt idx="6">
                  <c:v>0</c:v>
                </c:pt>
                <c:pt idx="7">
                  <c:v>0</c:v>
                </c:pt>
                <c:pt idx="8">
                  <c:v>0</c:v>
                </c:pt>
              </c:numCache>
            </c:numRef>
          </c:xVal>
          <c:yVal>
            <c:numRef>
              <c:f>'6-Single Log Design'!$AC$93:$AC$101</c:f>
              <c:numCache>
                <c:formatCode>0.00</c:formatCode>
                <c:ptCount val="9"/>
                <c:pt idx="0">
                  <c:v>0</c:v>
                </c:pt>
                <c:pt idx="1">
                  <c:v>0</c:v>
                </c:pt>
                <c:pt idx="2">
                  <c:v>0</c:v>
                </c:pt>
                <c:pt idx="3">
                  <c:v>0</c:v>
                </c:pt>
                <c:pt idx="4">
                  <c:v>0</c:v>
                </c:pt>
                <c:pt idx="5">
                  <c:v>0</c:v>
                </c:pt>
                <c:pt idx="6">
                  <c:v>0</c:v>
                </c:pt>
                <c:pt idx="7">
                  <c:v>0</c:v>
                </c:pt>
                <c:pt idx="8">
                  <c:v>0</c:v>
                </c:pt>
              </c:numCache>
            </c:numRef>
          </c:yVal>
          <c:smooth val="1"/>
        </c:ser>
        <c:ser>
          <c:idx val="8"/>
          <c:order val="8"/>
          <c:tx>
            <c:v>Boulder2</c:v>
          </c:tx>
          <c:spPr>
            <a:ln>
              <a:solidFill>
                <a:schemeClr val="tx1">
                  <a:lumMod val="65000"/>
                  <a:lumOff val="35000"/>
                </a:schemeClr>
              </a:solidFill>
            </a:ln>
          </c:spPr>
          <c:marker>
            <c:symbol val="none"/>
          </c:marker>
          <c:xVal>
            <c:numRef>
              <c:f>'6-Single Log Design'!$AD$93:$AD$101</c:f>
              <c:numCache>
                <c:formatCode>0.00</c:formatCode>
                <c:ptCount val="9"/>
                <c:pt idx="0">
                  <c:v>0</c:v>
                </c:pt>
                <c:pt idx="1">
                  <c:v>0</c:v>
                </c:pt>
                <c:pt idx="2">
                  <c:v>0</c:v>
                </c:pt>
                <c:pt idx="3">
                  <c:v>0</c:v>
                </c:pt>
                <c:pt idx="4">
                  <c:v>0</c:v>
                </c:pt>
                <c:pt idx="5">
                  <c:v>0</c:v>
                </c:pt>
                <c:pt idx="6">
                  <c:v>0</c:v>
                </c:pt>
                <c:pt idx="7">
                  <c:v>0</c:v>
                </c:pt>
                <c:pt idx="8">
                  <c:v>0</c:v>
                </c:pt>
              </c:numCache>
            </c:numRef>
          </c:xVal>
          <c:yVal>
            <c:numRef>
              <c:f>'6-Single Log Design'!$AE$93:$AE$101</c:f>
              <c:numCache>
                <c:formatCode>0.00</c:formatCode>
                <c:ptCount val="9"/>
                <c:pt idx="0">
                  <c:v>0</c:v>
                </c:pt>
                <c:pt idx="1">
                  <c:v>0</c:v>
                </c:pt>
                <c:pt idx="2">
                  <c:v>0</c:v>
                </c:pt>
                <c:pt idx="3">
                  <c:v>0</c:v>
                </c:pt>
                <c:pt idx="4">
                  <c:v>0</c:v>
                </c:pt>
                <c:pt idx="5">
                  <c:v>0</c:v>
                </c:pt>
                <c:pt idx="6">
                  <c:v>0</c:v>
                </c:pt>
                <c:pt idx="7">
                  <c:v>0</c:v>
                </c:pt>
                <c:pt idx="8">
                  <c:v>0</c:v>
                </c:pt>
              </c:numCache>
            </c:numRef>
          </c:yVal>
          <c:smooth val="1"/>
        </c:ser>
        <c:ser>
          <c:idx val="9"/>
          <c:order val="9"/>
          <c:tx>
            <c:v>Boulder3</c:v>
          </c:tx>
          <c:spPr>
            <a:ln>
              <a:solidFill>
                <a:schemeClr val="bg1">
                  <a:lumMod val="50000"/>
                </a:schemeClr>
              </a:solidFill>
            </a:ln>
          </c:spPr>
          <c:marker>
            <c:symbol val="none"/>
          </c:marker>
          <c:xVal>
            <c:numRef>
              <c:f>'6-Single Log Design'!$AF$93:$AF$101</c:f>
              <c:numCache>
                <c:formatCode>0.00</c:formatCode>
                <c:ptCount val="9"/>
                <c:pt idx="0">
                  <c:v>0</c:v>
                </c:pt>
                <c:pt idx="1">
                  <c:v>0</c:v>
                </c:pt>
                <c:pt idx="2">
                  <c:v>0</c:v>
                </c:pt>
                <c:pt idx="3">
                  <c:v>0</c:v>
                </c:pt>
                <c:pt idx="4">
                  <c:v>0</c:v>
                </c:pt>
                <c:pt idx="5">
                  <c:v>0</c:v>
                </c:pt>
                <c:pt idx="6">
                  <c:v>0</c:v>
                </c:pt>
                <c:pt idx="7">
                  <c:v>0</c:v>
                </c:pt>
                <c:pt idx="8">
                  <c:v>0</c:v>
                </c:pt>
              </c:numCache>
            </c:numRef>
          </c:xVal>
          <c:yVal>
            <c:numRef>
              <c:f>'6-Single Log Design'!$AG$93:$AG$101</c:f>
              <c:numCache>
                <c:formatCode>0.00</c:formatCode>
                <c:ptCount val="9"/>
                <c:pt idx="0">
                  <c:v>0</c:v>
                </c:pt>
                <c:pt idx="1">
                  <c:v>0</c:v>
                </c:pt>
                <c:pt idx="2">
                  <c:v>0</c:v>
                </c:pt>
                <c:pt idx="3">
                  <c:v>0</c:v>
                </c:pt>
                <c:pt idx="4">
                  <c:v>0</c:v>
                </c:pt>
                <c:pt idx="5">
                  <c:v>0</c:v>
                </c:pt>
                <c:pt idx="6">
                  <c:v>0</c:v>
                </c:pt>
                <c:pt idx="7">
                  <c:v>0</c:v>
                </c:pt>
                <c:pt idx="8">
                  <c:v>0</c:v>
                </c:pt>
              </c:numCache>
            </c:numRef>
          </c:yVal>
          <c:smooth val="1"/>
        </c:ser>
        <c:ser>
          <c:idx val="10"/>
          <c:order val="10"/>
          <c:tx>
            <c:v>MechAnchor1</c:v>
          </c:tx>
          <c:spPr>
            <a:ln>
              <a:solidFill>
                <a:schemeClr val="accent2">
                  <a:lumMod val="60000"/>
                  <a:lumOff val="40000"/>
                </a:schemeClr>
              </a:solidFill>
              <a:tailEnd type="triangle"/>
            </a:ln>
          </c:spPr>
          <c:marker>
            <c:symbol val="none"/>
          </c:marker>
          <c:xVal>
            <c:numRef>
              <c:f>'6-Single Log Design'!$AB$105:$AB$106</c:f>
              <c:numCache>
                <c:formatCode>#,##0.00</c:formatCode>
                <c:ptCount val="2"/>
                <c:pt idx="0">
                  <c:v>0</c:v>
                </c:pt>
                <c:pt idx="1">
                  <c:v>0</c:v>
                </c:pt>
              </c:numCache>
            </c:numRef>
          </c:xVal>
          <c:yVal>
            <c:numRef>
              <c:f>'6-Single Log Design'!$AC$105:$AC$106</c:f>
              <c:numCache>
                <c:formatCode>#,##0.00</c:formatCode>
                <c:ptCount val="2"/>
                <c:pt idx="0">
                  <c:v>0</c:v>
                </c:pt>
                <c:pt idx="1">
                  <c:v>0</c:v>
                </c:pt>
              </c:numCache>
            </c:numRef>
          </c:yVal>
          <c:smooth val="1"/>
        </c:ser>
        <c:ser>
          <c:idx val="11"/>
          <c:order val="11"/>
          <c:tx>
            <c:v>MechAnchor2</c:v>
          </c:tx>
          <c:spPr>
            <a:ln>
              <a:solidFill>
                <a:schemeClr val="accent2">
                  <a:lumMod val="75000"/>
                </a:schemeClr>
              </a:solidFill>
              <a:headEnd type="triangle"/>
            </a:ln>
          </c:spPr>
          <c:marker>
            <c:symbol val="none"/>
          </c:marker>
          <c:dPt>
            <c:idx val="1"/>
            <c:spPr>
              <a:ln>
                <a:solidFill>
                  <a:schemeClr val="accent2">
                    <a:lumMod val="75000"/>
                  </a:schemeClr>
                </a:solidFill>
                <a:headEnd type="none"/>
                <a:tailEnd type="triangle"/>
              </a:ln>
            </c:spPr>
          </c:dPt>
          <c:xVal>
            <c:numRef>
              <c:f>'6-Single Log Design'!$AB$110:$AB$111</c:f>
              <c:numCache>
                <c:formatCode>#,##0.00</c:formatCode>
                <c:ptCount val="2"/>
                <c:pt idx="0">
                  <c:v>0</c:v>
                </c:pt>
                <c:pt idx="1">
                  <c:v>0</c:v>
                </c:pt>
              </c:numCache>
            </c:numRef>
          </c:xVal>
          <c:yVal>
            <c:numRef>
              <c:f>'6-Single Log Design'!$AC$110:$AC$111</c:f>
              <c:numCache>
                <c:formatCode>#,##0.00</c:formatCode>
                <c:ptCount val="2"/>
                <c:pt idx="0">
                  <c:v>0</c:v>
                </c:pt>
                <c:pt idx="1">
                  <c:v>0</c:v>
                </c:pt>
              </c:numCache>
            </c:numRef>
          </c:yVal>
          <c:smooth val="1"/>
        </c:ser>
        <c:ser>
          <c:idx val="12"/>
          <c:order val="12"/>
          <c:tx>
            <c:v>Ballast 1</c:v>
          </c:tx>
          <c:spPr>
            <a:ln>
              <a:solidFill>
                <a:schemeClr val="bg2">
                  <a:lumMod val="50000"/>
                </a:schemeClr>
              </a:solidFill>
              <a:tailEnd type="triangle"/>
            </a:ln>
          </c:spPr>
          <c:marker>
            <c:symbol val="none"/>
          </c:marker>
          <c:dPt>
            <c:idx val="1"/>
            <c:spPr>
              <a:ln>
                <a:solidFill>
                  <a:schemeClr val="bg2">
                    <a:lumMod val="50000"/>
                  </a:schemeClr>
                </a:solidFill>
                <a:headEnd type="triangle"/>
                <a:tailEnd type="none"/>
              </a:ln>
            </c:spPr>
          </c:dPt>
          <c:dPt>
            <c:idx val="2"/>
            <c:spPr>
              <a:ln>
                <a:solidFill>
                  <a:schemeClr val="bg2">
                    <a:lumMod val="50000"/>
                  </a:schemeClr>
                </a:solidFill>
                <a:tailEnd type="none"/>
              </a:ln>
            </c:spPr>
          </c:dPt>
          <c:xVal>
            <c:numRef>
              <c:f>'6-Single Log Design'!$AF$105:$AF$108</c:f>
              <c:numCache>
                <c:formatCode>#,##0.00</c:formatCode>
                <c:ptCount val="4"/>
                <c:pt idx="0">
                  <c:v>0</c:v>
                </c:pt>
                <c:pt idx="1">
                  <c:v>0</c:v>
                </c:pt>
                <c:pt idx="2">
                  <c:v>0</c:v>
                </c:pt>
                <c:pt idx="3">
                  <c:v>0</c:v>
                </c:pt>
              </c:numCache>
            </c:numRef>
          </c:xVal>
          <c:yVal>
            <c:numRef>
              <c:f>'6-Single Log Design'!$AG$105:$AG$108</c:f>
              <c:numCache>
                <c:formatCode>#,##0.00</c:formatCode>
                <c:ptCount val="4"/>
                <c:pt idx="0">
                  <c:v>0</c:v>
                </c:pt>
                <c:pt idx="1">
                  <c:v>0</c:v>
                </c:pt>
                <c:pt idx="2">
                  <c:v>0</c:v>
                </c:pt>
                <c:pt idx="3">
                  <c:v>0</c:v>
                </c:pt>
              </c:numCache>
            </c:numRef>
          </c:yVal>
        </c:ser>
        <c:axId val="62833024"/>
        <c:axId val="62834560"/>
      </c:scatterChart>
      <c:valAx>
        <c:axId val="62833024"/>
        <c:scaling>
          <c:orientation val="minMax"/>
        </c:scaling>
        <c:axPos val="b"/>
        <c:majorGridlines/>
        <c:numFmt formatCode="#,##0" sourceLinked="0"/>
        <c:tickLblPos val="nextTo"/>
        <c:crossAx val="62834560"/>
        <c:crosses val="autoZero"/>
        <c:crossBetween val="midCat"/>
      </c:valAx>
      <c:valAx>
        <c:axId val="62834560"/>
        <c:scaling>
          <c:orientation val="minMax"/>
        </c:scaling>
        <c:axPos val="l"/>
        <c:majorGridlines/>
        <c:numFmt formatCode="#,##0" sourceLinked="0"/>
        <c:tickLblPos val="nextTo"/>
        <c:crossAx val="62833024"/>
        <c:crosses val="autoZero"/>
        <c:crossBetween val="midCat"/>
      </c:valAx>
      <c:spPr>
        <a:ln>
          <a:solidFill>
            <a:schemeClr val="tx1">
              <a:lumMod val="50000"/>
              <a:lumOff val="50000"/>
            </a:schemeClr>
          </a:solidFill>
        </a:ln>
      </c:spPr>
    </c:plotArea>
    <c:plotVisOnly val="1"/>
    <c:dispBlanksAs val="gap"/>
  </c:chart>
  <c:spPr>
    <a:ln>
      <a:noFill/>
    </a:ln>
  </c:spPr>
  <c:printSettings>
    <c:headerFooter/>
    <c:pageMargins b="0.75000000000000078" l="0.70000000000000062" r="0.70000000000000062" t="0.75000000000000078" header="0.30000000000000032" footer="0.30000000000000032"/>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jpeg"/><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3</xdr:col>
      <xdr:colOff>0</xdr:colOff>
      <xdr:row>0</xdr:row>
      <xdr:rowOff>0</xdr:rowOff>
    </xdr:from>
    <xdr:to>
      <xdr:col>4</xdr:col>
      <xdr:colOff>85725</xdr:colOff>
      <xdr:row>1</xdr:row>
      <xdr:rowOff>0</xdr:rowOff>
    </xdr:to>
    <xdr:sp macro="" textlink="">
      <xdr:nvSpPr>
        <xdr:cNvPr id="2049" name="AutoShape 6"/>
        <xdr:cNvSpPr>
          <a:spLocks noChangeAspect="1" noChangeArrowheads="1"/>
        </xdr:cNvSpPr>
      </xdr:nvSpPr>
      <xdr:spPr bwMode="auto">
        <a:xfrm>
          <a:off x="1809750" y="161925"/>
          <a:ext cx="695325" cy="161925"/>
        </a:xfrm>
        <a:prstGeom prst="rect">
          <a:avLst/>
        </a:prstGeom>
        <a:noFill/>
        <a:ln w="9525">
          <a:noFill/>
          <a:miter lim="800000"/>
          <a:headEnd/>
          <a:tailEnd/>
        </a:ln>
      </xdr:spPr>
    </xdr:sp>
    <xdr:clientData/>
  </xdr:twoCellAnchor>
  <xdr:twoCellAnchor>
    <xdr:from>
      <xdr:col>6</xdr:col>
      <xdr:colOff>0</xdr:colOff>
      <xdr:row>0</xdr:row>
      <xdr:rowOff>47625</xdr:rowOff>
    </xdr:from>
    <xdr:to>
      <xdr:col>7</xdr:col>
      <xdr:colOff>85725</xdr:colOff>
      <xdr:row>1</xdr:row>
      <xdr:rowOff>47625</xdr:rowOff>
    </xdr:to>
    <xdr:sp macro="" textlink="">
      <xdr:nvSpPr>
        <xdr:cNvPr id="2050" name="AutoShape 7"/>
        <xdr:cNvSpPr>
          <a:spLocks noChangeAspect="1" noChangeArrowheads="1"/>
        </xdr:cNvSpPr>
      </xdr:nvSpPr>
      <xdr:spPr bwMode="auto">
        <a:xfrm>
          <a:off x="3638550" y="209550"/>
          <a:ext cx="695325" cy="161925"/>
        </a:xfrm>
        <a:prstGeom prst="rect">
          <a:avLst/>
        </a:prstGeom>
        <a:noFill/>
        <a:ln w="9525">
          <a:noFill/>
          <a:miter lim="800000"/>
          <a:headEnd/>
          <a:tailEnd/>
        </a:ln>
      </xdr:spPr>
    </xdr:sp>
    <xdr:clientData/>
  </xdr:twoCellAnchor>
  <xdr:twoCellAnchor editAs="oneCell">
    <xdr:from>
      <xdr:col>2</xdr:col>
      <xdr:colOff>15240</xdr:colOff>
      <xdr:row>4</xdr:row>
      <xdr:rowOff>15240</xdr:rowOff>
    </xdr:from>
    <xdr:to>
      <xdr:col>8</xdr:col>
      <xdr:colOff>45720</xdr:colOff>
      <xdr:row>15</xdr:row>
      <xdr:rowOff>38100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a:stretch/>
      </xdr:blipFill>
      <xdr:spPr>
        <a:xfrm>
          <a:off x="1247140" y="1005840"/>
          <a:ext cx="4145280" cy="209296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76200</xdr:colOff>
      <xdr:row>0</xdr:row>
      <xdr:rowOff>53340</xdr:rowOff>
    </xdr:from>
    <xdr:to>
      <xdr:col>12</xdr:col>
      <xdr:colOff>373380</xdr:colOff>
      <xdr:row>24</xdr:row>
      <xdr:rowOff>15240</xdr:rowOff>
    </xdr:to>
    <xdr:pic>
      <xdr:nvPicPr>
        <xdr:cNvPr id="3" name="irc_mi" descr="http://www.aisc.org/uploadedImages/Steel_Solutions_Center/Conceptual/My_Region/Files/041708-web.gif"/>
        <xdr:cNvPicPr>
          <a:picLocks noChangeAspect="1" noChangeArrowheads="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b="1583"/>
        <a:stretch/>
      </xdr:blipFill>
      <xdr:spPr bwMode="auto">
        <a:xfrm>
          <a:off x="7543800" y="53340"/>
          <a:ext cx="6454140" cy="421386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22860</xdr:colOff>
      <xdr:row>6</xdr:row>
      <xdr:rowOff>160020</xdr:rowOff>
    </xdr:from>
    <xdr:to>
      <xdr:col>10</xdr:col>
      <xdr:colOff>0</xdr:colOff>
      <xdr:row>19</xdr:row>
      <xdr:rowOff>45720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15</xdr:row>
      <xdr:rowOff>152400</xdr:rowOff>
    </xdr:from>
    <xdr:to>
      <xdr:col>4</xdr:col>
      <xdr:colOff>114300</xdr:colOff>
      <xdr:row>16</xdr:row>
      <xdr:rowOff>121920</xdr:rowOff>
    </xdr:to>
    <xdr:sp macro="" textlink="">
      <xdr:nvSpPr>
        <xdr:cNvPr id="13" name="TextBox 12"/>
        <xdr:cNvSpPr txBox="1"/>
      </xdr:nvSpPr>
      <xdr:spPr>
        <a:xfrm>
          <a:off x="2766060" y="3048000"/>
          <a:ext cx="7620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t>x</a:t>
          </a:r>
        </a:p>
      </xdr:txBody>
    </xdr:sp>
    <xdr:clientData/>
  </xdr:twoCellAnchor>
  <xdr:twoCellAnchor>
    <xdr:from>
      <xdr:col>3</xdr:col>
      <xdr:colOff>449580</xdr:colOff>
      <xdr:row>16</xdr:row>
      <xdr:rowOff>152400</xdr:rowOff>
    </xdr:from>
    <xdr:to>
      <xdr:col>4</xdr:col>
      <xdr:colOff>129540</xdr:colOff>
      <xdr:row>16</xdr:row>
      <xdr:rowOff>152400</xdr:rowOff>
    </xdr:to>
    <xdr:cxnSp macro="">
      <xdr:nvCxnSpPr>
        <xdr:cNvPr id="6" name="Straight Arrow Connector 5"/>
        <xdr:cNvCxnSpPr/>
      </xdr:nvCxnSpPr>
      <xdr:spPr>
        <a:xfrm>
          <a:off x="2461260" y="3253740"/>
          <a:ext cx="3962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457200</xdr:colOff>
      <xdr:row>15</xdr:row>
      <xdr:rowOff>0</xdr:rowOff>
    </xdr:from>
    <xdr:to>
      <xdr:col>3</xdr:col>
      <xdr:colOff>457200</xdr:colOff>
      <xdr:row>16</xdr:row>
      <xdr:rowOff>152400</xdr:rowOff>
    </xdr:to>
    <xdr:cxnSp macro="">
      <xdr:nvCxnSpPr>
        <xdr:cNvPr id="8" name="Straight Arrow Connector 7"/>
        <xdr:cNvCxnSpPr/>
      </xdr:nvCxnSpPr>
      <xdr:spPr>
        <a:xfrm flipV="1">
          <a:off x="2468880" y="2895600"/>
          <a:ext cx="0" cy="35814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43</xdr:col>
      <xdr:colOff>167640</xdr:colOff>
      <xdr:row>18</xdr:row>
      <xdr:rowOff>53339</xdr:rowOff>
    </xdr:from>
    <xdr:to>
      <xdr:col>44</xdr:col>
      <xdr:colOff>228600</xdr:colOff>
      <xdr:row>21</xdr:row>
      <xdr:rowOff>94757</xdr:rowOff>
    </xdr:to>
    <xdr:pic>
      <xdr:nvPicPr>
        <xdr:cNvPr id="16" name="Picture 15" descr="Bottom end partially covered, top end dry"/>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5740360" y="3055619"/>
          <a:ext cx="914400" cy="69419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43</xdr:col>
      <xdr:colOff>182880</xdr:colOff>
      <xdr:row>23</xdr:row>
      <xdr:rowOff>30480</xdr:rowOff>
    </xdr:from>
    <xdr:to>
      <xdr:col>44</xdr:col>
      <xdr:colOff>243840</xdr:colOff>
      <xdr:row>26</xdr:row>
      <xdr:rowOff>124460</xdr:rowOff>
    </xdr:to>
    <xdr:pic>
      <xdr:nvPicPr>
        <xdr:cNvPr id="17" name="Picture 16" descr="Bottom end covered, top end dry"/>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5755600" y="4648200"/>
          <a:ext cx="914400" cy="7391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43</xdr:col>
      <xdr:colOff>160020</xdr:colOff>
      <xdr:row>34</xdr:row>
      <xdr:rowOff>83821</xdr:rowOff>
    </xdr:from>
    <xdr:to>
      <xdr:col>44</xdr:col>
      <xdr:colOff>259080</xdr:colOff>
      <xdr:row>37</xdr:row>
      <xdr:rowOff>152400</xdr:rowOff>
    </xdr:to>
    <xdr:pic>
      <xdr:nvPicPr>
        <xdr:cNvPr id="19" name="Picture 18" descr="Bottom end covered, top end partially covered"/>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25732740" y="6416041"/>
          <a:ext cx="952500" cy="68579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43</xdr:col>
      <xdr:colOff>175260</xdr:colOff>
      <xdr:row>28</xdr:row>
      <xdr:rowOff>45721</xdr:rowOff>
    </xdr:from>
    <xdr:to>
      <xdr:col>44</xdr:col>
      <xdr:colOff>304800</xdr:colOff>
      <xdr:row>31</xdr:row>
      <xdr:rowOff>129540</xdr:rowOff>
    </xdr:to>
    <xdr:pic>
      <xdr:nvPicPr>
        <xdr:cNvPr id="20" name="Picture 19" descr="Bottom and top ends partially covered"/>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25747980" y="5105401"/>
          <a:ext cx="982980" cy="71627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3</xdr:col>
      <xdr:colOff>525780</xdr:colOff>
      <xdr:row>14</xdr:row>
      <xdr:rowOff>152400</xdr:rowOff>
    </xdr:from>
    <xdr:to>
      <xdr:col>3</xdr:col>
      <xdr:colOff>594360</xdr:colOff>
      <xdr:row>15</xdr:row>
      <xdr:rowOff>160020</xdr:rowOff>
    </xdr:to>
    <xdr:sp macro="" textlink="">
      <xdr:nvSpPr>
        <xdr:cNvPr id="14" name="TextBox 13"/>
        <xdr:cNvSpPr txBox="1"/>
      </xdr:nvSpPr>
      <xdr:spPr>
        <a:xfrm>
          <a:off x="2537460" y="2842260"/>
          <a:ext cx="68580" cy="213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t>y</a:t>
          </a:r>
        </a:p>
      </xdr:txBody>
    </xdr:sp>
    <xdr:clientData/>
  </xdr:twoCellAnchor>
  <xdr:twoCellAnchor editAs="oneCell">
    <xdr:from>
      <xdr:col>32</xdr:col>
      <xdr:colOff>251460</xdr:colOff>
      <xdr:row>18</xdr:row>
      <xdr:rowOff>45719</xdr:rowOff>
    </xdr:from>
    <xdr:to>
      <xdr:col>33</xdr:col>
      <xdr:colOff>434339</xdr:colOff>
      <xdr:row>21</xdr:row>
      <xdr:rowOff>87137</xdr:rowOff>
    </xdr:to>
    <xdr:pic>
      <xdr:nvPicPr>
        <xdr:cNvPr id="24" name="Picture 23" descr="Bottom end partially covered, top end dry"/>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7866340" y="3489959"/>
          <a:ext cx="914400" cy="68911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32</xdr:col>
      <xdr:colOff>289560</xdr:colOff>
      <xdr:row>23</xdr:row>
      <xdr:rowOff>30480</xdr:rowOff>
    </xdr:from>
    <xdr:to>
      <xdr:col>33</xdr:col>
      <xdr:colOff>472439</xdr:colOff>
      <xdr:row>26</xdr:row>
      <xdr:rowOff>124460</xdr:rowOff>
    </xdr:to>
    <xdr:pic>
      <xdr:nvPicPr>
        <xdr:cNvPr id="25" name="Picture 24" descr="Bottom end covered, top end dry"/>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7904440" y="4564380"/>
          <a:ext cx="914400" cy="7416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32</xdr:col>
      <xdr:colOff>220980</xdr:colOff>
      <xdr:row>34</xdr:row>
      <xdr:rowOff>22861</xdr:rowOff>
    </xdr:from>
    <xdr:to>
      <xdr:col>33</xdr:col>
      <xdr:colOff>441959</xdr:colOff>
      <xdr:row>37</xdr:row>
      <xdr:rowOff>91440</xdr:rowOff>
    </xdr:to>
    <xdr:pic>
      <xdr:nvPicPr>
        <xdr:cNvPr id="26" name="Picture 25" descr="Bottom end covered, top end partially covered"/>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27835860" y="6827521"/>
          <a:ext cx="952500" cy="68579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32</xdr:col>
      <xdr:colOff>220980</xdr:colOff>
      <xdr:row>28</xdr:row>
      <xdr:rowOff>83821</xdr:rowOff>
    </xdr:from>
    <xdr:to>
      <xdr:col>33</xdr:col>
      <xdr:colOff>472439</xdr:colOff>
      <xdr:row>31</xdr:row>
      <xdr:rowOff>167640</xdr:rowOff>
    </xdr:to>
    <xdr:pic>
      <xdr:nvPicPr>
        <xdr:cNvPr id="27" name="Picture 26" descr="Bottom and top ends partially covered"/>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27835860" y="5661661"/>
          <a:ext cx="982980" cy="71627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9</xdr:col>
      <xdr:colOff>68580</xdr:colOff>
      <xdr:row>75</xdr:row>
      <xdr:rowOff>38100</xdr:rowOff>
    </xdr:from>
    <xdr:to>
      <xdr:col>9</xdr:col>
      <xdr:colOff>196596</xdr:colOff>
      <xdr:row>75</xdr:row>
      <xdr:rowOff>184404</xdr:rowOff>
    </xdr:to>
    <xdr:sp macro="" textlink="">
      <xdr:nvSpPr>
        <xdr:cNvPr id="9" name="Curved Left Arrow 8"/>
        <xdr:cNvSpPr/>
      </xdr:nvSpPr>
      <xdr:spPr>
        <a:xfrm>
          <a:off x="5966460" y="15240000"/>
          <a:ext cx="128016" cy="146304"/>
        </a:xfrm>
        <a:prstGeom prst="curved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9</xdr:col>
      <xdr:colOff>60960</xdr:colOff>
      <xdr:row>76</xdr:row>
      <xdr:rowOff>30480</xdr:rowOff>
    </xdr:from>
    <xdr:to>
      <xdr:col>9</xdr:col>
      <xdr:colOff>188976</xdr:colOff>
      <xdr:row>76</xdr:row>
      <xdr:rowOff>176784</xdr:rowOff>
    </xdr:to>
    <xdr:sp macro="" textlink="">
      <xdr:nvSpPr>
        <xdr:cNvPr id="4" name="Curved Right Arrow 3"/>
        <xdr:cNvSpPr/>
      </xdr:nvSpPr>
      <xdr:spPr>
        <a:xfrm>
          <a:off x="5958840" y="15453360"/>
          <a:ext cx="128016" cy="146304"/>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0</xdr:col>
      <xdr:colOff>0</xdr:colOff>
      <xdr:row>29</xdr:row>
      <xdr:rowOff>152401</xdr:rowOff>
    </xdr:from>
    <xdr:to>
      <xdr:col>9</xdr:col>
      <xdr:colOff>576072</xdr:colOff>
      <xdr:row>46</xdr:row>
      <xdr:rowOff>99428</xdr:rowOff>
    </xdr:to>
    <xdr:pic>
      <xdr:nvPicPr>
        <xdr:cNvPr id="11" name="Picture 10"/>
        <xdr:cNvPicPr>
          <a:picLocks noChangeAspect="1"/>
        </xdr:cNvPicPr>
      </xdr:nvPicPr>
      <xdr:blipFill rotWithShape="1">
        <a:blip xmlns:r="http://schemas.openxmlformats.org/officeDocument/2006/relationships" r:embed="rId6" cstate="print"/>
        <a:srcRect l="6661" t="13193" r="5352"/>
        <a:stretch/>
      </xdr:blipFill>
      <xdr:spPr>
        <a:xfrm>
          <a:off x="0" y="5897881"/>
          <a:ext cx="6565392" cy="3414127"/>
        </a:xfrm>
        <a:prstGeom prst="rect">
          <a:avLst/>
        </a:prstGeom>
      </xdr:spPr>
    </xdr:pic>
    <xdr:clientData/>
  </xdr:twoCellAnchor>
  <xdr:twoCellAnchor editAs="oneCell">
    <xdr:from>
      <xdr:col>13</xdr:col>
      <xdr:colOff>114300</xdr:colOff>
      <xdr:row>15</xdr:row>
      <xdr:rowOff>38100</xdr:rowOff>
    </xdr:from>
    <xdr:to>
      <xdr:col>17</xdr:col>
      <xdr:colOff>510540</xdr:colOff>
      <xdr:row>32</xdr:row>
      <xdr:rowOff>76200</xdr:rowOff>
    </xdr:to>
    <xdr:pic>
      <xdr:nvPicPr>
        <xdr:cNvPr id="23" name="Picture 22"/>
        <xdr:cNvPicPr/>
      </xdr:nvPicPr>
      <xdr:blipFill rotWithShape="1">
        <a:blip xmlns:r="http://schemas.openxmlformats.org/officeDocument/2006/relationships" r:embed="rId7" cstate="print"/>
        <a:srcRect l="24626" t="12409" r="20095" b="1704"/>
        <a:stretch/>
      </xdr:blipFill>
      <xdr:spPr bwMode="auto">
        <a:xfrm>
          <a:off x="11711940" y="2933700"/>
          <a:ext cx="4328160" cy="3520440"/>
        </a:xfrm>
        <a:prstGeom prst="rect">
          <a:avLst/>
        </a:prstGeom>
        <a:ln>
          <a:noFill/>
        </a:ln>
        <a:extLst>
          <a:ext uri="{53640926-AAD7-44D8-BBD7-CCE9431645EC}">
            <a14:shadowObscured xmlns=""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520701</xdr:colOff>
      <xdr:row>51</xdr:row>
      <xdr:rowOff>12700</xdr:rowOff>
    </xdr:from>
    <xdr:to>
      <xdr:col>12</xdr:col>
      <xdr:colOff>48260</xdr:colOff>
      <xdr:row>65</xdr:row>
      <xdr:rowOff>182880</xdr:rowOff>
    </xdr:to>
    <xdr:pic>
      <xdr:nvPicPr>
        <xdr:cNvPr id="2" name="Picture 1"/>
        <xdr:cNvPicPr>
          <a:picLocks noChangeAspect="1"/>
        </xdr:cNvPicPr>
      </xdr:nvPicPr>
      <xdr:blipFill rotWithShape="1">
        <a:blip xmlns:r="http://schemas.openxmlformats.org/officeDocument/2006/relationships" r:embed="rId1" cstate="print"/>
        <a:srcRect l="14640" t="25414" r="78186" b="22785"/>
        <a:stretch/>
      </xdr:blipFill>
      <xdr:spPr>
        <a:xfrm>
          <a:off x="12014201" y="10414000"/>
          <a:ext cx="746759" cy="2989580"/>
        </a:xfrm>
        <a:prstGeom prst="rect">
          <a:avLst/>
        </a:prstGeom>
      </xdr:spPr>
    </xdr:pic>
    <xdr:clientData/>
  </xdr:twoCellAnchor>
  <xdr:twoCellAnchor editAs="oneCell">
    <xdr:from>
      <xdr:col>10</xdr:col>
      <xdr:colOff>518159</xdr:colOff>
      <xdr:row>65</xdr:row>
      <xdr:rowOff>167640</xdr:rowOff>
    </xdr:from>
    <xdr:to>
      <xdr:col>12</xdr:col>
      <xdr:colOff>60960</xdr:colOff>
      <xdr:row>80</xdr:row>
      <xdr:rowOff>43180</xdr:rowOff>
    </xdr:to>
    <xdr:pic>
      <xdr:nvPicPr>
        <xdr:cNvPr id="3" name="Picture 2"/>
        <xdr:cNvPicPr>
          <a:picLocks noChangeAspect="1"/>
        </xdr:cNvPicPr>
      </xdr:nvPicPr>
      <xdr:blipFill rotWithShape="1">
        <a:blip xmlns:r="http://schemas.openxmlformats.org/officeDocument/2006/relationships" r:embed="rId1" cstate="print"/>
        <a:srcRect l="33306" t="33118" r="59374" b="22785"/>
        <a:stretch/>
      </xdr:blipFill>
      <xdr:spPr>
        <a:xfrm>
          <a:off x="12011659" y="13388340"/>
          <a:ext cx="762001" cy="25171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gr.colostate.edu/~bbledsoe/streamtools/" TargetMode="External"/><Relationship Id="rId1" Type="http://schemas.openxmlformats.org/officeDocument/2006/relationships/hyperlink" Target="mailto:michael.rafferty@otak.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trlProp" Target="../ctrlProps/ctrlProp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ctrlProp" Target="../ctrlProps/ctrlProp5.xml"/><Relationship Id="rId2" Type="http://schemas.openxmlformats.org/officeDocument/2006/relationships/hyperlink" Target="http://planetcalc.com/1442/" TargetMode="External"/><Relationship Id="rId1" Type="http://schemas.openxmlformats.org/officeDocument/2006/relationships/hyperlink" Target="http://planetcalc.com/1442/" TargetMode="External"/><Relationship Id="rId6" Type="http://schemas.openxmlformats.org/officeDocument/2006/relationships/comments" Target="../comments5.xml"/><Relationship Id="rId5" Type="http://schemas.openxmlformats.org/officeDocument/2006/relationships/vmlDrawing" Target="../drawings/vmlDrawing6.vm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8"/>
  <dimension ref="A1:S215"/>
  <sheetViews>
    <sheetView tabSelected="1" zoomScaleNormal="100" workbookViewId="0">
      <pane ySplit="3" topLeftCell="A4" activePane="bottomLeft" state="frozen"/>
      <selection pane="bottomLeft" activeCell="L111" sqref="L111"/>
    </sheetView>
  </sheetViews>
  <sheetFormatPr defaultRowHeight="12.75"/>
  <cols>
    <col min="2" max="2" width="15.85546875" customWidth="1"/>
    <col min="3" max="3" width="4.28515625" customWidth="1"/>
    <col min="4" max="4" width="9.5703125" customWidth="1"/>
    <col min="13" max="13" width="8.5703125" customWidth="1"/>
    <col min="14" max="14" width="16.42578125" bestFit="1" customWidth="1"/>
    <col min="15" max="15" width="8.5703125" customWidth="1"/>
    <col min="16" max="16" width="16.28515625" bestFit="1" customWidth="1"/>
  </cols>
  <sheetData>
    <row r="1" spans="1:19" ht="28.9" customHeight="1">
      <c r="A1" s="836" t="s">
        <v>805</v>
      </c>
      <c r="B1" s="837"/>
      <c r="C1" s="837"/>
      <c r="D1" s="837"/>
      <c r="E1" s="837"/>
      <c r="F1" s="837"/>
      <c r="G1" s="837"/>
      <c r="H1" s="837"/>
      <c r="I1" s="837"/>
      <c r="J1" s="838"/>
      <c r="K1" s="710"/>
      <c r="L1" s="710"/>
      <c r="M1" s="710"/>
      <c r="N1" s="710"/>
      <c r="O1" s="710"/>
      <c r="P1" s="710"/>
      <c r="Q1" s="710"/>
      <c r="R1" s="710"/>
      <c r="S1" s="710"/>
    </row>
    <row r="2" spans="1:19" ht="7.15" customHeight="1">
      <c r="A2" s="710"/>
      <c r="B2" s="710"/>
      <c r="C2" s="710"/>
      <c r="D2" s="710"/>
      <c r="E2" s="710"/>
      <c r="F2" s="710"/>
      <c r="G2" s="710"/>
      <c r="H2" s="710"/>
      <c r="I2" s="710"/>
      <c r="J2" s="710"/>
      <c r="K2" s="710"/>
      <c r="L2" s="710"/>
      <c r="M2" s="710"/>
      <c r="N2" s="710"/>
      <c r="O2" s="710"/>
      <c r="P2" s="710"/>
      <c r="Q2" s="710"/>
      <c r="R2" s="710"/>
      <c r="S2" s="710"/>
    </row>
    <row r="3" spans="1:19">
      <c r="A3" s="839" t="s">
        <v>884</v>
      </c>
      <c r="B3" s="839"/>
      <c r="C3" s="839"/>
      <c r="D3" s="839"/>
      <c r="E3" s="839"/>
      <c r="F3" s="839"/>
      <c r="G3" s="839"/>
      <c r="H3" s="839"/>
      <c r="I3" s="839"/>
      <c r="J3" s="839"/>
      <c r="K3" s="710"/>
      <c r="L3" s="710"/>
      <c r="M3" s="710"/>
      <c r="N3" s="710"/>
      <c r="O3" s="710"/>
      <c r="P3" s="710"/>
      <c r="Q3" s="710"/>
      <c r="R3" s="710"/>
      <c r="S3" s="710"/>
    </row>
    <row r="4" spans="1:19" ht="7.15" customHeight="1">
      <c r="A4" s="710"/>
      <c r="B4" s="710"/>
      <c r="C4" s="710"/>
      <c r="D4" s="710"/>
      <c r="E4" s="710"/>
      <c r="F4" s="710"/>
      <c r="G4" s="710"/>
      <c r="H4" s="710"/>
      <c r="I4" s="710"/>
      <c r="J4" s="710"/>
      <c r="K4" s="710"/>
      <c r="L4" s="710"/>
      <c r="M4" s="710"/>
      <c r="N4" s="710"/>
      <c r="O4" s="710"/>
      <c r="P4" s="710"/>
      <c r="Q4" s="710"/>
      <c r="R4" s="710"/>
      <c r="S4" s="710"/>
    </row>
    <row r="5" spans="1:19">
      <c r="A5" s="840" t="s">
        <v>821</v>
      </c>
      <c r="B5" s="841"/>
      <c r="C5" s="841"/>
      <c r="D5" s="841"/>
      <c r="E5" s="841"/>
      <c r="F5" s="841"/>
      <c r="G5" s="841"/>
      <c r="H5" s="841"/>
      <c r="I5" s="841"/>
      <c r="J5" s="841"/>
      <c r="K5" s="710"/>
      <c r="L5" s="710"/>
      <c r="M5" s="710"/>
      <c r="N5" s="710"/>
      <c r="O5" s="710"/>
      <c r="P5" s="710"/>
      <c r="Q5" s="710"/>
      <c r="R5" s="710"/>
      <c r="S5" s="710"/>
    </row>
    <row r="6" spans="1:19" ht="15">
      <c r="A6" s="842" t="s">
        <v>1293</v>
      </c>
      <c r="B6" s="843"/>
      <c r="C6" s="843"/>
      <c r="D6" s="843"/>
      <c r="E6" s="843"/>
      <c r="F6" s="843"/>
      <c r="G6" s="843"/>
      <c r="H6" s="843"/>
      <c r="I6" s="843"/>
      <c r="J6" s="843"/>
      <c r="K6" s="763"/>
      <c r="L6" s="763"/>
      <c r="M6" s="763"/>
      <c r="N6" s="764"/>
      <c r="O6" s="765"/>
      <c r="P6" s="710"/>
      <c r="Q6" s="710"/>
      <c r="R6" s="710"/>
      <c r="S6" s="710"/>
    </row>
    <row r="7" spans="1:19">
      <c r="A7" s="844"/>
      <c r="B7" s="844"/>
      <c r="C7" s="844"/>
      <c r="D7" s="844"/>
      <c r="E7" s="844"/>
      <c r="F7" s="844"/>
      <c r="G7" s="844"/>
      <c r="H7" s="844"/>
      <c r="I7" s="844"/>
      <c r="J7" s="844"/>
      <c r="K7" s="710"/>
      <c r="L7" s="710"/>
      <c r="M7" s="710"/>
      <c r="N7" s="710"/>
      <c r="O7" s="710"/>
      <c r="P7" s="710"/>
      <c r="Q7" s="710"/>
      <c r="R7" s="710"/>
      <c r="S7" s="710"/>
    </row>
    <row r="8" spans="1:19">
      <c r="A8" s="844"/>
      <c r="B8" s="844"/>
      <c r="C8" s="844"/>
      <c r="D8" s="844"/>
      <c r="E8" s="844"/>
      <c r="F8" s="844"/>
      <c r="G8" s="844"/>
      <c r="H8" s="844"/>
      <c r="I8" s="844"/>
      <c r="J8" s="844"/>
      <c r="K8" s="710"/>
      <c r="L8" s="710"/>
      <c r="M8" s="710"/>
      <c r="N8" s="710"/>
      <c r="O8" s="710"/>
      <c r="P8" s="710"/>
      <c r="Q8" s="710"/>
      <c r="R8" s="710"/>
      <c r="S8" s="710"/>
    </row>
    <row r="9" spans="1:19">
      <c r="A9" s="844"/>
      <c r="B9" s="844"/>
      <c r="C9" s="844"/>
      <c r="D9" s="844"/>
      <c r="E9" s="844"/>
      <c r="F9" s="844"/>
      <c r="G9" s="844"/>
      <c r="H9" s="844"/>
      <c r="I9" s="844"/>
      <c r="J9" s="844"/>
      <c r="K9" s="710"/>
      <c r="L9" s="710"/>
      <c r="M9" s="710"/>
      <c r="N9" s="710"/>
      <c r="O9" s="710"/>
      <c r="P9" s="710"/>
      <c r="Q9" s="710"/>
      <c r="R9" s="710"/>
      <c r="S9" s="710"/>
    </row>
    <row r="10" spans="1:19">
      <c r="A10" s="844"/>
      <c r="B10" s="844"/>
      <c r="C10" s="844"/>
      <c r="D10" s="844"/>
      <c r="E10" s="844"/>
      <c r="F10" s="844"/>
      <c r="G10" s="844"/>
      <c r="H10" s="844"/>
      <c r="I10" s="844"/>
      <c r="J10" s="844"/>
      <c r="K10" s="710"/>
      <c r="L10" s="710"/>
      <c r="M10" s="710"/>
      <c r="N10" s="710"/>
      <c r="O10" s="710"/>
      <c r="P10" s="710"/>
      <c r="Q10" s="710"/>
      <c r="R10" s="710"/>
      <c r="S10" s="710"/>
    </row>
    <row r="11" spans="1:19">
      <c r="A11" s="844"/>
      <c r="B11" s="844"/>
      <c r="C11" s="844"/>
      <c r="D11" s="844"/>
      <c r="E11" s="844"/>
      <c r="F11" s="844"/>
      <c r="G11" s="844"/>
      <c r="H11" s="844"/>
      <c r="I11" s="844"/>
      <c r="J11" s="844"/>
      <c r="K11" s="710"/>
      <c r="L11" s="710"/>
      <c r="M11" s="710"/>
      <c r="N11" s="710"/>
      <c r="O11" s="710"/>
      <c r="P11" s="710"/>
      <c r="Q11" s="710"/>
      <c r="R11" s="710"/>
      <c r="S11" s="710"/>
    </row>
    <row r="12" spans="1:19">
      <c r="A12" s="844"/>
      <c r="B12" s="844"/>
      <c r="C12" s="844"/>
      <c r="D12" s="844"/>
      <c r="E12" s="844"/>
      <c r="F12" s="844"/>
      <c r="G12" s="844"/>
      <c r="H12" s="844"/>
      <c r="I12" s="844"/>
      <c r="J12" s="844"/>
      <c r="K12" s="710"/>
      <c r="L12" s="710"/>
      <c r="M12" s="710"/>
      <c r="N12" s="710"/>
      <c r="O12" s="710"/>
      <c r="P12" s="710"/>
      <c r="Q12" s="710"/>
      <c r="R12" s="710"/>
      <c r="S12" s="710"/>
    </row>
    <row r="13" spans="1:19">
      <c r="A13" s="844"/>
      <c r="B13" s="844"/>
      <c r="C13" s="844"/>
      <c r="D13" s="844"/>
      <c r="E13" s="844"/>
      <c r="F13" s="844"/>
      <c r="G13" s="844"/>
      <c r="H13" s="844"/>
      <c r="I13" s="844"/>
      <c r="J13" s="844"/>
      <c r="K13" s="710"/>
      <c r="L13" s="710"/>
      <c r="M13" s="710"/>
      <c r="N13" s="710"/>
      <c r="O13" s="710"/>
      <c r="P13" s="710"/>
      <c r="Q13" s="710"/>
      <c r="R13" s="710"/>
      <c r="S13" s="710"/>
    </row>
    <row r="14" spans="1:19" ht="12.75" customHeight="1">
      <c r="A14" s="845" t="s">
        <v>1292</v>
      </c>
      <c r="B14" s="846"/>
      <c r="C14" s="846"/>
      <c r="D14" s="846"/>
      <c r="E14" s="846"/>
      <c r="F14" s="846"/>
      <c r="G14" s="846"/>
      <c r="H14" s="846"/>
      <c r="I14" s="846"/>
      <c r="J14" s="846"/>
      <c r="K14" s="710"/>
      <c r="L14" s="710"/>
      <c r="M14" s="710"/>
      <c r="N14" s="710"/>
      <c r="O14" s="710"/>
      <c r="P14" s="710"/>
      <c r="Q14" s="710"/>
      <c r="R14" s="710"/>
      <c r="S14" s="710"/>
    </row>
    <row r="15" spans="1:19">
      <c r="A15" s="710"/>
      <c r="B15" s="710"/>
      <c r="C15" s="710"/>
      <c r="D15" s="710"/>
      <c r="E15" s="710"/>
      <c r="F15" s="710"/>
      <c r="G15" s="710"/>
      <c r="H15" s="710"/>
      <c r="I15" s="710"/>
      <c r="J15" s="710"/>
      <c r="K15" s="710"/>
      <c r="L15" s="710"/>
      <c r="M15" s="710"/>
      <c r="N15" s="710"/>
      <c r="O15" s="710"/>
      <c r="P15" s="710"/>
      <c r="Q15" s="710"/>
      <c r="R15" s="710"/>
      <c r="S15" s="710"/>
    </row>
    <row r="16" spans="1:19" ht="12.75" customHeight="1">
      <c r="A16" s="758" t="s">
        <v>807</v>
      </c>
      <c r="B16" s="710"/>
      <c r="C16" s="710"/>
      <c r="D16" s="710"/>
      <c r="E16" s="710"/>
      <c r="F16" s="710"/>
      <c r="G16" s="710"/>
      <c r="H16" s="710"/>
      <c r="I16" s="710"/>
      <c r="J16" s="710"/>
      <c r="K16" s="710"/>
      <c r="L16" s="710"/>
      <c r="M16" s="710"/>
      <c r="N16" s="710"/>
      <c r="O16" s="710"/>
      <c r="P16" s="710"/>
      <c r="Q16" s="710"/>
      <c r="R16" s="710"/>
      <c r="S16" s="710"/>
    </row>
    <row r="17" spans="1:19" s="477" customFormat="1" ht="7.15" customHeight="1">
      <c r="A17" s="677"/>
      <c r="B17" s="677"/>
      <c r="C17" s="677"/>
      <c r="D17" s="677"/>
      <c r="E17" s="677"/>
      <c r="F17" s="677"/>
      <c r="G17" s="677"/>
      <c r="H17" s="677"/>
      <c r="I17" s="677"/>
      <c r="J17" s="677"/>
      <c r="K17" s="677"/>
      <c r="L17" s="677"/>
      <c r="M17" s="677"/>
      <c r="N17" s="677"/>
      <c r="O17" s="677"/>
      <c r="P17" s="677"/>
      <c r="Q17" s="677"/>
      <c r="R17" s="677"/>
      <c r="S17" s="677"/>
    </row>
    <row r="18" spans="1:19" ht="12.75" customHeight="1">
      <c r="A18" s="724" t="s">
        <v>808</v>
      </c>
      <c r="B18" s="710"/>
      <c r="C18" s="710"/>
      <c r="D18" s="710"/>
      <c r="E18" s="710"/>
      <c r="F18" s="710"/>
      <c r="G18" s="710"/>
      <c r="H18" s="710"/>
      <c r="I18" s="710"/>
      <c r="J18" s="710"/>
      <c r="K18" s="710"/>
      <c r="L18" s="710"/>
      <c r="M18" s="710"/>
      <c r="N18" s="710"/>
      <c r="O18" s="710"/>
      <c r="P18" s="710"/>
      <c r="Q18" s="710"/>
      <c r="R18" s="710"/>
      <c r="S18" s="710"/>
    </row>
    <row r="19" spans="1:19" ht="12.75" customHeight="1">
      <c r="A19" s="710"/>
      <c r="B19" s="677" t="s">
        <v>952</v>
      </c>
      <c r="C19" s="710"/>
      <c r="D19" s="710"/>
      <c r="E19" s="710"/>
      <c r="F19" s="710"/>
      <c r="G19" s="710"/>
      <c r="H19" s="710"/>
      <c r="I19" s="710"/>
      <c r="J19" s="710"/>
      <c r="K19" s="710"/>
      <c r="L19" s="710"/>
      <c r="M19" s="710"/>
      <c r="N19" s="710"/>
      <c r="O19" s="710"/>
      <c r="P19" s="710"/>
      <c r="Q19" s="710"/>
      <c r="R19" s="710"/>
      <c r="S19" s="710"/>
    </row>
    <row r="20" spans="1:19" ht="12.75" customHeight="1">
      <c r="A20" s="710"/>
      <c r="B20" s="677" t="s">
        <v>658</v>
      </c>
      <c r="C20" s="710"/>
      <c r="D20" s="710"/>
      <c r="E20" s="710"/>
      <c r="F20" s="710"/>
      <c r="G20" s="710"/>
      <c r="H20" s="710"/>
      <c r="I20" s="710"/>
      <c r="J20" s="710"/>
      <c r="K20" s="710"/>
      <c r="L20" s="710"/>
      <c r="M20" s="710"/>
      <c r="N20" s="710"/>
      <c r="O20" s="710"/>
      <c r="P20" s="710"/>
      <c r="Q20" s="710"/>
      <c r="R20" s="710"/>
      <c r="S20" s="710"/>
    </row>
    <row r="21" spans="1:19">
      <c r="A21" s="710"/>
      <c r="B21" s="710"/>
      <c r="C21" s="710"/>
      <c r="D21" s="710"/>
      <c r="E21" s="710"/>
      <c r="F21" s="710"/>
      <c r="G21" s="710"/>
      <c r="H21" s="710"/>
      <c r="I21" s="710"/>
      <c r="J21" s="710"/>
      <c r="K21" s="710"/>
      <c r="L21" s="710"/>
      <c r="M21" s="710"/>
      <c r="N21" s="710"/>
      <c r="O21" s="710"/>
      <c r="P21" s="710"/>
      <c r="Q21" s="710"/>
      <c r="R21" s="710"/>
      <c r="S21" s="710"/>
    </row>
    <row r="22" spans="1:19">
      <c r="A22" s="724" t="s">
        <v>800</v>
      </c>
      <c r="B22" s="710"/>
      <c r="C22" s="710"/>
      <c r="D22" s="710"/>
      <c r="E22" s="710"/>
      <c r="F22" s="710"/>
      <c r="G22" s="710"/>
      <c r="H22" s="710"/>
      <c r="I22" s="710"/>
      <c r="J22" s="710"/>
      <c r="K22" s="710"/>
      <c r="L22" s="710"/>
      <c r="M22" s="710"/>
      <c r="N22" s="710"/>
      <c r="O22" s="710"/>
      <c r="P22" s="710"/>
      <c r="Q22" s="710"/>
      <c r="R22" s="710"/>
      <c r="S22" s="710"/>
    </row>
    <row r="23" spans="1:19" ht="7.15" customHeight="1">
      <c r="A23" s="724"/>
      <c r="B23" s="710"/>
      <c r="C23" s="710"/>
      <c r="D23" s="710"/>
      <c r="E23" s="710"/>
      <c r="F23" s="710"/>
      <c r="G23" s="710"/>
      <c r="H23" s="710"/>
      <c r="I23" s="710"/>
      <c r="J23" s="710"/>
      <c r="K23" s="710"/>
      <c r="L23" s="710"/>
      <c r="M23" s="710"/>
      <c r="N23" s="710"/>
      <c r="O23" s="710"/>
      <c r="P23" s="710"/>
      <c r="Q23" s="710"/>
      <c r="R23" s="710"/>
      <c r="S23" s="710"/>
    </row>
    <row r="24" spans="1:19" ht="13.5" thickBot="1">
      <c r="A24" s="710"/>
      <c r="B24" s="759" t="s">
        <v>806</v>
      </c>
      <c r="C24" s="710"/>
      <c r="D24" s="760" t="s">
        <v>801</v>
      </c>
      <c r="E24" s="710"/>
      <c r="F24" s="710"/>
      <c r="G24" s="710"/>
      <c r="H24" s="710"/>
      <c r="I24" s="710"/>
      <c r="J24" s="710"/>
      <c r="K24" s="710"/>
      <c r="L24" s="710"/>
      <c r="M24" s="710"/>
      <c r="N24" s="710"/>
      <c r="O24" s="710"/>
      <c r="P24" s="710"/>
      <c r="Q24" s="710"/>
      <c r="R24" s="710"/>
      <c r="S24" s="710"/>
    </row>
    <row r="25" spans="1:19" ht="13.5" thickBot="1">
      <c r="A25" s="710"/>
      <c r="B25" s="381" t="s">
        <v>655</v>
      </c>
      <c r="C25" s="710"/>
      <c r="D25" s="677" t="s">
        <v>802</v>
      </c>
      <c r="E25" s="710"/>
      <c r="F25" s="710"/>
      <c r="G25" s="710"/>
      <c r="H25" s="710"/>
      <c r="I25" s="710"/>
      <c r="J25" s="710"/>
      <c r="K25" s="710"/>
      <c r="L25" s="710"/>
      <c r="M25" s="710"/>
      <c r="N25" s="710"/>
      <c r="O25" s="710"/>
      <c r="P25" s="710"/>
      <c r="Q25" s="710"/>
      <c r="R25" s="710"/>
      <c r="S25" s="710"/>
    </row>
    <row r="26" spans="1:19" ht="13.5" thickBot="1">
      <c r="A26" s="710"/>
      <c r="B26" s="712"/>
      <c r="C26" s="710"/>
      <c r="D26" s="677"/>
      <c r="E26" s="710"/>
      <c r="F26" s="710"/>
      <c r="G26" s="710"/>
      <c r="H26" s="710"/>
      <c r="I26" s="710"/>
      <c r="J26" s="710"/>
      <c r="K26" s="710"/>
      <c r="L26" s="710"/>
      <c r="M26" s="710"/>
      <c r="N26" s="710"/>
      <c r="O26" s="710"/>
      <c r="P26" s="710"/>
      <c r="Q26" s="710"/>
      <c r="R26" s="710"/>
      <c r="S26" s="710"/>
    </row>
    <row r="27" spans="1:19" ht="13.5" thickBot="1">
      <c r="A27" s="710"/>
      <c r="B27" s="382" t="s">
        <v>656</v>
      </c>
      <c r="C27" s="710"/>
      <c r="D27" s="677" t="s">
        <v>803</v>
      </c>
      <c r="E27" s="710"/>
      <c r="F27" s="710"/>
      <c r="G27" s="710"/>
      <c r="H27" s="710"/>
      <c r="I27" s="710"/>
      <c r="J27" s="710"/>
      <c r="K27" s="710"/>
      <c r="L27" s="710"/>
      <c r="M27" s="710"/>
      <c r="N27" s="710"/>
      <c r="O27" s="710"/>
      <c r="P27" s="710"/>
      <c r="Q27" s="710"/>
      <c r="R27" s="710"/>
      <c r="S27" s="710"/>
    </row>
    <row r="28" spans="1:19" ht="13.5" thickBot="1">
      <c r="A28" s="710"/>
      <c r="B28" s="712"/>
      <c r="C28" s="710"/>
      <c r="D28" s="677"/>
      <c r="E28" s="710"/>
      <c r="F28" s="710"/>
      <c r="G28" s="710"/>
      <c r="H28" s="710"/>
      <c r="I28" s="710"/>
      <c r="J28" s="710"/>
      <c r="K28" s="710"/>
      <c r="L28" s="710"/>
      <c r="M28" s="710"/>
      <c r="N28" s="710"/>
      <c r="O28" s="710"/>
      <c r="P28" s="710"/>
      <c r="Q28" s="710"/>
      <c r="R28" s="710"/>
      <c r="S28" s="710"/>
    </row>
    <row r="29" spans="1:19" ht="13.5" thickBot="1">
      <c r="A29" s="710"/>
      <c r="B29" s="383" t="s">
        <v>657</v>
      </c>
      <c r="C29" s="710"/>
      <c r="D29" s="677" t="s">
        <v>804</v>
      </c>
      <c r="E29" s="710"/>
      <c r="F29" s="710"/>
      <c r="G29" s="710"/>
      <c r="H29" s="710"/>
      <c r="I29" s="710"/>
      <c r="J29" s="710"/>
      <c r="K29" s="710"/>
      <c r="L29" s="710"/>
      <c r="M29" s="710"/>
      <c r="N29" s="710"/>
      <c r="O29" s="710"/>
      <c r="P29" s="710"/>
      <c r="Q29" s="710"/>
      <c r="R29" s="710"/>
      <c r="S29" s="710"/>
    </row>
    <row r="30" spans="1:19">
      <c r="A30" s="710"/>
      <c r="B30" s="710"/>
      <c r="C30" s="710"/>
      <c r="D30" s="710"/>
      <c r="E30" s="710"/>
      <c r="F30" s="710"/>
      <c r="G30" s="710"/>
      <c r="H30" s="710"/>
      <c r="I30" s="710"/>
      <c r="J30" s="710"/>
      <c r="K30" s="710"/>
      <c r="L30" s="710"/>
      <c r="M30" s="710"/>
      <c r="N30" s="710"/>
      <c r="O30" s="710"/>
      <c r="P30" s="710"/>
      <c r="Q30" s="710"/>
      <c r="R30" s="710"/>
      <c r="S30" s="710"/>
    </row>
    <row r="31" spans="1:19">
      <c r="A31" s="724" t="s">
        <v>809</v>
      </c>
      <c r="B31" s="710"/>
      <c r="C31" s="710"/>
      <c r="D31" s="710"/>
      <c r="E31" s="710"/>
      <c r="F31" s="710"/>
      <c r="G31" s="710"/>
      <c r="H31" s="710"/>
      <c r="I31" s="710"/>
      <c r="J31" s="710"/>
      <c r="K31" s="710"/>
      <c r="L31" s="710"/>
      <c r="M31" s="710"/>
      <c r="N31" s="710"/>
      <c r="O31" s="710"/>
      <c r="P31" s="710"/>
      <c r="Q31" s="710"/>
      <c r="R31" s="710"/>
      <c r="S31" s="710"/>
    </row>
    <row r="32" spans="1:19" ht="7.15" customHeight="1">
      <c r="A32" s="710"/>
      <c r="B32" s="710"/>
      <c r="C32" s="710"/>
      <c r="D32" s="710"/>
      <c r="E32" s="710"/>
      <c r="F32" s="710"/>
      <c r="G32" s="710"/>
      <c r="H32" s="710"/>
      <c r="I32" s="710"/>
      <c r="J32" s="710"/>
      <c r="K32" s="710"/>
      <c r="L32" s="710"/>
      <c r="M32" s="710"/>
      <c r="N32" s="710"/>
      <c r="O32" s="710"/>
      <c r="P32" s="710"/>
      <c r="Q32" s="710"/>
      <c r="R32" s="710"/>
      <c r="S32" s="710"/>
    </row>
    <row r="33" spans="1:19" ht="13.5" thickBot="1">
      <c r="A33" s="710"/>
      <c r="B33" s="759" t="s">
        <v>806</v>
      </c>
      <c r="C33" s="710"/>
      <c r="D33" s="760" t="s">
        <v>801</v>
      </c>
      <c r="E33" s="710"/>
      <c r="F33" s="710"/>
      <c r="G33" s="710"/>
      <c r="H33" s="710"/>
      <c r="I33" s="710"/>
      <c r="J33" s="710"/>
      <c r="K33" s="710"/>
      <c r="L33" s="710"/>
      <c r="M33" s="710"/>
      <c r="N33" s="710"/>
      <c r="O33" s="710"/>
      <c r="P33" s="710"/>
      <c r="Q33" s="710"/>
      <c r="R33" s="710"/>
      <c r="S33" s="710"/>
    </row>
    <row r="34" spans="1:19" ht="13.5" thickBot="1">
      <c r="A34" s="710"/>
      <c r="B34" s="380" t="s">
        <v>654</v>
      </c>
      <c r="C34" s="710"/>
      <c r="D34" s="677" t="s">
        <v>812</v>
      </c>
      <c r="E34" s="710"/>
      <c r="F34" s="710"/>
      <c r="G34" s="710"/>
      <c r="H34" s="710"/>
      <c r="I34" s="710"/>
      <c r="J34" s="710"/>
      <c r="K34" s="710"/>
      <c r="L34" s="710"/>
      <c r="M34" s="710"/>
      <c r="N34" s="710"/>
      <c r="O34" s="710"/>
      <c r="P34" s="710"/>
      <c r="Q34" s="710"/>
      <c r="R34" s="710"/>
      <c r="S34" s="710"/>
    </row>
    <row r="35" spans="1:19">
      <c r="A35" s="710"/>
      <c r="B35" s="712"/>
      <c r="C35" s="710"/>
      <c r="D35" s="677"/>
      <c r="E35" s="710"/>
      <c r="F35" s="710"/>
      <c r="G35" s="710"/>
      <c r="H35" s="710"/>
      <c r="I35" s="710"/>
      <c r="J35" s="710"/>
      <c r="K35" s="710"/>
      <c r="L35" s="710"/>
      <c r="M35" s="710"/>
      <c r="N35" s="710"/>
      <c r="O35" s="710"/>
      <c r="P35" s="710"/>
      <c r="Q35" s="710"/>
      <c r="R35" s="710"/>
      <c r="S35" s="710"/>
    </row>
    <row r="36" spans="1:19">
      <c r="A36" s="710"/>
      <c r="B36" s="3" t="s">
        <v>810</v>
      </c>
      <c r="C36" s="710"/>
      <c r="D36" s="677" t="s">
        <v>813</v>
      </c>
      <c r="E36" s="710"/>
      <c r="F36" s="710"/>
      <c r="G36" s="710"/>
      <c r="H36" s="710"/>
      <c r="I36" s="710"/>
      <c r="J36" s="710"/>
      <c r="K36" s="710"/>
      <c r="L36" s="710"/>
      <c r="M36" s="710"/>
      <c r="N36" s="710"/>
      <c r="O36" s="710"/>
      <c r="P36" s="710"/>
      <c r="Q36" s="710"/>
      <c r="R36" s="710"/>
      <c r="S36" s="710"/>
    </row>
    <row r="37" spans="1:19" ht="13.5" thickBot="1">
      <c r="A37" s="710"/>
      <c r="B37" s="712"/>
      <c r="C37" s="710"/>
      <c r="D37" s="677"/>
      <c r="E37" s="710"/>
      <c r="F37" s="710"/>
      <c r="G37" s="710"/>
      <c r="H37" s="710"/>
      <c r="I37" s="710"/>
      <c r="J37" s="710"/>
      <c r="K37" s="710"/>
      <c r="L37" s="710"/>
      <c r="M37" s="710"/>
      <c r="N37" s="710"/>
      <c r="O37" s="710"/>
      <c r="P37" s="710"/>
      <c r="Q37" s="710"/>
      <c r="R37" s="710"/>
      <c r="S37" s="710"/>
    </row>
    <row r="38" spans="1:19" ht="13.5" thickBot="1">
      <c r="A38" s="710"/>
      <c r="B38" s="462" t="s">
        <v>799</v>
      </c>
      <c r="C38" s="710"/>
      <c r="D38" s="677" t="s">
        <v>814</v>
      </c>
      <c r="E38" s="710"/>
      <c r="F38" s="710"/>
      <c r="G38" s="710"/>
      <c r="H38" s="710"/>
      <c r="I38" s="710"/>
      <c r="J38" s="710"/>
      <c r="K38" s="766"/>
      <c r="L38" s="680"/>
      <c r="M38" s="677"/>
      <c r="N38" s="710"/>
      <c r="O38" s="710"/>
      <c r="P38" s="710"/>
      <c r="Q38" s="710"/>
      <c r="R38" s="710"/>
      <c r="S38" s="710"/>
    </row>
    <row r="39" spans="1:19">
      <c r="A39" s="710"/>
      <c r="B39" s="710"/>
      <c r="C39" s="710"/>
      <c r="D39" s="677"/>
      <c r="E39" s="710"/>
      <c r="F39" s="710"/>
      <c r="G39" s="710"/>
      <c r="H39" s="710"/>
      <c r="I39" s="710"/>
      <c r="J39" s="710"/>
      <c r="K39" s="766"/>
      <c r="L39" s="680"/>
      <c r="M39" s="677"/>
      <c r="N39" s="710"/>
      <c r="O39" s="710"/>
      <c r="P39" s="710"/>
      <c r="Q39" s="710"/>
      <c r="R39" s="710"/>
      <c r="S39" s="710"/>
    </row>
    <row r="40" spans="1:19" ht="13.5" thickBot="1">
      <c r="A40" s="710"/>
      <c r="B40" s="467" t="s">
        <v>798</v>
      </c>
      <c r="C40" s="710"/>
      <c r="D40" s="677" t="s">
        <v>815</v>
      </c>
      <c r="E40" s="710"/>
      <c r="F40" s="710"/>
      <c r="G40" s="710"/>
      <c r="H40" s="710"/>
      <c r="I40" s="710"/>
      <c r="J40" s="710"/>
      <c r="K40" s="766"/>
      <c r="L40" s="680"/>
      <c r="M40" s="677"/>
      <c r="N40" s="710"/>
      <c r="O40" s="710"/>
      <c r="P40" s="710"/>
      <c r="Q40" s="710"/>
      <c r="R40" s="710"/>
      <c r="S40" s="710"/>
    </row>
    <row r="41" spans="1:19" ht="13.5" thickBot="1">
      <c r="A41" s="710"/>
      <c r="B41" s="710"/>
      <c r="C41" s="710"/>
      <c r="D41" s="677"/>
      <c r="E41" s="710"/>
      <c r="F41" s="710"/>
      <c r="G41" s="710"/>
      <c r="H41" s="710"/>
      <c r="I41" s="710"/>
      <c r="J41" s="710"/>
      <c r="K41" s="766"/>
      <c r="L41" s="680"/>
      <c r="M41" s="677"/>
      <c r="N41" s="710"/>
      <c r="O41" s="710"/>
      <c r="P41" s="710"/>
      <c r="Q41" s="710"/>
      <c r="R41" s="710"/>
      <c r="S41" s="710"/>
    </row>
    <row r="42" spans="1:19" ht="13.5" thickBot="1">
      <c r="A42" s="710"/>
      <c r="B42" s="384" t="s">
        <v>811</v>
      </c>
      <c r="C42" s="710"/>
      <c r="D42" s="677" t="s">
        <v>816</v>
      </c>
      <c r="E42" s="710"/>
      <c r="F42" s="710"/>
      <c r="G42" s="710"/>
      <c r="H42" s="710"/>
      <c r="I42" s="710"/>
      <c r="J42" s="710"/>
      <c r="K42" s="767"/>
      <c r="L42" s="680"/>
      <c r="M42" s="657"/>
      <c r="N42" s="710"/>
      <c r="O42" s="710"/>
      <c r="P42" s="710"/>
      <c r="Q42" s="710"/>
      <c r="R42" s="710"/>
      <c r="S42" s="710"/>
    </row>
    <row r="43" spans="1:19">
      <c r="A43" s="710"/>
      <c r="B43" s="710"/>
      <c r="C43" s="710"/>
      <c r="D43" s="710"/>
      <c r="E43" s="710"/>
      <c r="F43" s="710"/>
      <c r="G43" s="710"/>
      <c r="H43" s="710"/>
      <c r="I43" s="710"/>
      <c r="J43" s="710"/>
      <c r="K43" s="766"/>
      <c r="L43" s="680"/>
      <c r="M43" s="677"/>
      <c r="N43" s="710"/>
      <c r="O43" s="710"/>
      <c r="P43" s="710"/>
      <c r="Q43" s="710"/>
      <c r="R43" s="710"/>
      <c r="S43" s="710"/>
    </row>
    <row r="44" spans="1:19">
      <c r="A44" s="724" t="s">
        <v>867</v>
      </c>
      <c r="B44" s="710"/>
      <c r="C44" s="710"/>
      <c r="D44" s="710"/>
      <c r="E44" s="710"/>
      <c r="F44" s="710"/>
      <c r="G44" s="710"/>
      <c r="H44" s="710"/>
      <c r="I44" s="710"/>
      <c r="J44" s="710"/>
      <c r="K44" s="766"/>
      <c r="L44" s="680"/>
      <c r="M44" s="677"/>
      <c r="N44" s="710"/>
      <c r="O44" s="710"/>
      <c r="P44" s="710"/>
      <c r="Q44" s="710"/>
      <c r="R44" s="710"/>
      <c r="S44" s="710"/>
    </row>
    <row r="45" spans="1:19" ht="7.15" customHeight="1">
      <c r="A45" s="724"/>
      <c r="B45" s="710"/>
      <c r="C45" s="710"/>
      <c r="D45" s="710"/>
      <c r="E45" s="710"/>
      <c r="F45" s="710"/>
      <c r="G45" s="710"/>
      <c r="H45" s="710"/>
      <c r="I45" s="710"/>
      <c r="J45" s="710"/>
      <c r="K45" s="766"/>
      <c r="L45" s="680"/>
      <c r="M45" s="677"/>
      <c r="N45" s="710"/>
      <c r="O45" s="710"/>
      <c r="P45" s="710"/>
      <c r="Q45" s="710"/>
      <c r="R45" s="710"/>
      <c r="S45" s="710"/>
    </row>
    <row r="46" spans="1:19">
      <c r="A46" s="710"/>
      <c r="B46" s="759" t="s">
        <v>825</v>
      </c>
      <c r="C46" s="710"/>
      <c r="D46" s="710"/>
      <c r="E46" s="710"/>
      <c r="F46" s="710"/>
      <c r="G46" s="710"/>
      <c r="H46" s="710"/>
      <c r="I46" s="710"/>
      <c r="J46" s="710"/>
      <c r="K46" s="710"/>
      <c r="L46" s="710"/>
      <c r="M46" s="710"/>
      <c r="N46" s="710"/>
      <c r="O46" s="710"/>
      <c r="P46" s="710"/>
      <c r="Q46" s="710"/>
      <c r="R46" s="710"/>
      <c r="S46" s="710"/>
    </row>
    <row r="47" spans="1:19">
      <c r="A47" s="710"/>
      <c r="B47" s="658" t="s">
        <v>827</v>
      </c>
      <c r="C47" s="710"/>
      <c r="D47" s="677" t="s">
        <v>828</v>
      </c>
      <c r="E47" s="710"/>
      <c r="F47" s="710"/>
      <c r="G47" s="710"/>
      <c r="H47" s="710"/>
      <c r="I47" s="710"/>
      <c r="J47" s="710"/>
      <c r="K47" s="710"/>
      <c r="L47" s="710"/>
      <c r="M47" s="710"/>
      <c r="N47" s="710"/>
      <c r="O47" s="710"/>
      <c r="P47" s="710"/>
      <c r="Q47" s="710"/>
      <c r="R47" s="710"/>
      <c r="S47" s="710"/>
    </row>
    <row r="48" spans="1:19">
      <c r="A48" s="710"/>
      <c r="B48" s="658"/>
      <c r="C48" s="710"/>
      <c r="D48" s="677"/>
      <c r="E48" s="710"/>
      <c r="F48" s="710"/>
      <c r="G48" s="710"/>
      <c r="H48" s="710"/>
      <c r="I48" s="710"/>
      <c r="J48" s="710"/>
      <c r="K48" s="710"/>
      <c r="L48" s="710"/>
      <c r="M48" s="710"/>
      <c r="N48" s="710"/>
      <c r="O48" s="710"/>
      <c r="P48" s="710"/>
      <c r="Q48" s="710"/>
      <c r="R48" s="710"/>
      <c r="S48" s="710"/>
    </row>
    <row r="49" spans="1:19">
      <c r="A49" s="710"/>
      <c r="B49" s="658" t="s">
        <v>826</v>
      </c>
      <c r="C49" s="710"/>
      <c r="D49" s="677" t="s">
        <v>829</v>
      </c>
      <c r="E49" s="710"/>
      <c r="F49" s="710"/>
      <c r="G49" s="710"/>
      <c r="H49" s="710"/>
      <c r="I49" s="710"/>
      <c r="J49" s="710"/>
      <c r="K49" s="710"/>
      <c r="L49" s="710"/>
      <c r="M49" s="710"/>
      <c r="N49" s="710"/>
      <c r="O49" s="710"/>
      <c r="P49" s="710"/>
      <c r="Q49" s="710"/>
      <c r="R49" s="710"/>
      <c r="S49" s="710"/>
    </row>
    <row r="50" spans="1:19">
      <c r="A50" s="710"/>
      <c r="B50" s="712"/>
      <c r="C50" s="710"/>
      <c r="D50" s="710"/>
      <c r="E50" s="710"/>
      <c r="F50" s="710"/>
      <c r="G50" s="710"/>
      <c r="H50" s="710"/>
      <c r="I50" s="710"/>
      <c r="J50" s="710"/>
      <c r="K50" s="710"/>
      <c r="L50" s="710"/>
      <c r="M50" s="710"/>
      <c r="N50" s="710"/>
      <c r="O50" s="710"/>
      <c r="P50" s="710"/>
      <c r="Q50" s="710"/>
      <c r="R50" s="710"/>
      <c r="S50" s="710"/>
    </row>
    <row r="51" spans="1:19">
      <c r="A51" s="822" t="s">
        <v>1264</v>
      </c>
      <c r="B51" s="822"/>
      <c r="C51" s="822"/>
      <c r="D51" s="822"/>
      <c r="E51" s="822"/>
      <c r="F51" s="822"/>
      <c r="G51" s="822"/>
      <c r="H51" s="822"/>
      <c r="I51" s="822"/>
      <c r="J51" s="822"/>
      <c r="K51" s="710"/>
      <c r="L51" s="710"/>
      <c r="M51" s="710"/>
      <c r="N51" s="710"/>
      <c r="O51" s="710"/>
      <c r="P51" s="710"/>
      <c r="Q51" s="710"/>
      <c r="R51" s="710"/>
      <c r="S51" s="710"/>
    </row>
    <row r="52" spans="1:19">
      <c r="A52" s="822"/>
      <c r="B52" s="822"/>
      <c r="C52" s="822"/>
      <c r="D52" s="822"/>
      <c r="E52" s="822"/>
      <c r="F52" s="822"/>
      <c r="G52" s="822"/>
      <c r="H52" s="822"/>
      <c r="I52" s="822"/>
      <c r="J52" s="822"/>
      <c r="K52" s="710"/>
      <c r="L52" s="710"/>
      <c r="M52" s="710"/>
      <c r="N52" s="710"/>
      <c r="O52" s="710"/>
      <c r="P52" s="710"/>
      <c r="Q52" s="710"/>
      <c r="R52" s="710"/>
      <c r="S52" s="710"/>
    </row>
    <row r="53" spans="1:19" ht="7.15" customHeight="1">
      <c r="A53" s="761"/>
      <c r="B53" s="761"/>
      <c r="C53" s="761"/>
      <c r="D53" s="761"/>
      <c r="E53" s="761"/>
      <c r="F53" s="761"/>
      <c r="G53" s="761"/>
      <c r="H53" s="761"/>
      <c r="I53" s="761"/>
      <c r="J53" s="761"/>
      <c r="K53" s="710"/>
      <c r="L53" s="710"/>
      <c r="M53" s="710"/>
      <c r="N53" s="710"/>
      <c r="O53" s="710"/>
      <c r="P53" s="710"/>
      <c r="Q53" s="710"/>
      <c r="R53" s="710"/>
      <c r="S53" s="710"/>
    </row>
    <row r="54" spans="1:19">
      <c r="A54" s="822" t="s">
        <v>1263</v>
      </c>
      <c r="B54" s="822"/>
      <c r="C54" s="822"/>
      <c r="D54" s="822"/>
      <c r="E54" s="822"/>
      <c r="F54" s="822"/>
      <c r="G54" s="822"/>
      <c r="H54" s="822"/>
      <c r="I54" s="822"/>
      <c r="J54" s="822"/>
      <c r="K54" s="710"/>
      <c r="L54" s="710"/>
      <c r="M54" s="710"/>
      <c r="N54" s="710"/>
      <c r="O54" s="710"/>
      <c r="P54" s="710"/>
      <c r="Q54" s="710"/>
      <c r="R54" s="710"/>
      <c r="S54" s="710"/>
    </row>
    <row r="55" spans="1:19">
      <c r="A55" s="822"/>
      <c r="B55" s="822"/>
      <c r="C55" s="822"/>
      <c r="D55" s="822"/>
      <c r="E55" s="822"/>
      <c r="F55" s="822"/>
      <c r="G55" s="822"/>
      <c r="H55" s="822"/>
      <c r="I55" s="822"/>
      <c r="J55" s="822"/>
      <c r="K55" s="710"/>
      <c r="L55" s="710"/>
      <c r="M55" s="710"/>
      <c r="N55" s="710"/>
      <c r="O55" s="710"/>
      <c r="P55" s="710"/>
      <c r="Q55" s="710"/>
      <c r="R55" s="710"/>
      <c r="S55" s="710"/>
    </row>
    <row r="56" spans="1:19" ht="7.15" customHeight="1">
      <c r="A56" s="761"/>
      <c r="B56" s="761"/>
      <c r="C56" s="761"/>
      <c r="D56" s="761"/>
      <c r="E56" s="761"/>
      <c r="F56" s="761"/>
      <c r="G56" s="761"/>
      <c r="H56" s="761"/>
      <c r="I56" s="761"/>
      <c r="J56" s="761"/>
      <c r="K56" s="710"/>
      <c r="L56" s="710"/>
      <c r="M56" s="710"/>
      <c r="N56" s="710"/>
      <c r="O56" s="710"/>
      <c r="P56" s="710"/>
      <c r="Q56" s="710"/>
      <c r="R56" s="710"/>
      <c r="S56" s="710"/>
    </row>
    <row r="57" spans="1:19">
      <c r="A57" s="822" t="s">
        <v>830</v>
      </c>
      <c r="B57" s="822"/>
      <c r="C57" s="822"/>
      <c r="D57" s="822"/>
      <c r="E57" s="822"/>
      <c r="F57" s="822"/>
      <c r="G57" s="822"/>
      <c r="H57" s="822"/>
      <c r="I57" s="822"/>
      <c r="J57" s="822"/>
      <c r="K57" s="710"/>
      <c r="L57" s="710"/>
      <c r="M57" s="710"/>
      <c r="N57" s="710"/>
      <c r="O57" s="710"/>
      <c r="P57" s="710"/>
      <c r="Q57" s="710"/>
      <c r="R57" s="710"/>
      <c r="S57" s="710"/>
    </row>
    <row r="58" spans="1:19">
      <c r="A58" s="822"/>
      <c r="B58" s="822"/>
      <c r="C58" s="822"/>
      <c r="D58" s="822"/>
      <c r="E58" s="822"/>
      <c r="F58" s="822"/>
      <c r="G58" s="822"/>
      <c r="H58" s="822"/>
      <c r="I58" s="822"/>
      <c r="J58" s="822"/>
      <c r="K58" s="710"/>
      <c r="L58" s="710"/>
      <c r="M58" s="710"/>
      <c r="N58" s="710"/>
      <c r="O58" s="710"/>
      <c r="P58" s="710"/>
      <c r="Q58" s="710"/>
      <c r="R58" s="710"/>
      <c r="S58" s="710"/>
    </row>
    <row r="59" spans="1:19" ht="7.15" customHeight="1">
      <c r="A59" s="761"/>
      <c r="B59" s="761"/>
      <c r="C59" s="761"/>
      <c r="D59" s="761"/>
      <c r="E59" s="761"/>
      <c r="F59" s="761"/>
      <c r="G59" s="761"/>
      <c r="H59" s="761"/>
      <c r="I59" s="761"/>
      <c r="J59" s="761"/>
      <c r="K59" s="710"/>
      <c r="L59" s="710"/>
      <c r="M59" s="710"/>
      <c r="N59" s="710"/>
      <c r="O59" s="710"/>
      <c r="P59" s="710"/>
      <c r="Q59" s="710"/>
      <c r="R59" s="710"/>
      <c r="S59" s="710"/>
    </row>
    <row r="60" spans="1:19">
      <c r="A60" s="822" t="s">
        <v>950</v>
      </c>
      <c r="B60" s="822"/>
      <c r="C60" s="822"/>
      <c r="D60" s="822"/>
      <c r="E60" s="822"/>
      <c r="F60" s="822"/>
      <c r="G60" s="822"/>
      <c r="H60" s="822"/>
      <c r="I60" s="822"/>
      <c r="J60" s="822"/>
      <c r="K60" s="710"/>
      <c r="L60" s="710"/>
      <c r="M60" s="710"/>
      <c r="N60" s="710"/>
      <c r="O60" s="710"/>
      <c r="P60" s="710"/>
      <c r="Q60" s="710"/>
      <c r="R60" s="710"/>
      <c r="S60" s="710"/>
    </row>
    <row r="61" spans="1:19">
      <c r="A61" s="822"/>
      <c r="B61" s="822"/>
      <c r="C61" s="822"/>
      <c r="D61" s="822"/>
      <c r="E61" s="822"/>
      <c r="F61" s="822"/>
      <c r="G61" s="822"/>
      <c r="H61" s="822"/>
      <c r="I61" s="822"/>
      <c r="J61" s="822"/>
      <c r="K61" s="710"/>
      <c r="L61" s="710"/>
      <c r="M61" s="710"/>
      <c r="N61" s="710"/>
      <c r="O61" s="710"/>
      <c r="P61" s="710"/>
      <c r="Q61" s="710"/>
      <c r="R61" s="710"/>
      <c r="S61" s="710"/>
    </row>
    <row r="62" spans="1:19">
      <c r="A62" s="822"/>
      <c r="B62" s="822"/>
      <c r="C62" s="822"/>
      <c r="D62" s="822"/>
      <c r="E62" s="822"/>
      <c r="F62" s="822"/>
      <c r="G62" s="822"/>
      <c r="H62" s="822"/>
      <c r="I62" s="822"/>
      <c r="J62" s="822"/>
      <c r="K62" s="710"/>
      <c r="L62" s="710"/>
      <c r="M62" s="710"/>
      <c r="N62" s="710"/>
      <c r="O62" s="710"/>
      <c r="P62" s="710"/>
      <c r="Q62" s="710"/>
      <c r="R62" s="710"/>
      <c r="S62" s="710"/>
    </row>
    <row r="63" spans="1:19">
      <c r="A63" s="822"/>
      <c r="B63" s="822"/>
      <c r="C63" s="822"/>
      <c r="D63" s="822"/>
      <c r="E63" s="822"/>
      <c r="F63" s="822"/>
      <c r="G63" s="822"/>
      <c r="H63" s="822"/>
      <c r="I63" s="822"/>
      <c r="J63" s="822"/>
      <c r="K63" s="710"/>
      <c r="L63" s="710"/>
      <c r="M63" s="710"/>
      <c r="N63" s="710"/>
      <c r="O63" s="710"/>
      <c r="P63" s="710"/>
      <c r="Q63" s="710"/>
      <c r="R63" s="710"/>
      <c r="S63" s="710"/>
    </row>
    <row r="64" spans="1:19">
      <c r="A64" s="822"/>
      <c r="B64" s="822"/>
      <c r="C64" s="822"/>
      <c r="D64" s="822"/>
      <c r="E64" s="822"/>
      <c r="F64" s="822"/>
      <c r="G64" s="822"/>
      <c r="H64" s="822"/>
      <c r="I64" s="822"/>
      <c r="J64" s="822"/>
      <c r="K64" s="710"/>
      <c r="L64" s="710"/>
      <c r="M64" s="710"/>
      <c r="N64" s="710"/>
      <c r="O64" s="710"/>
      <c r="P64" s="710"/>
      <c r="Q64" s="710"/>
      <c r="R64" s="710"/>
      <c r="S64" s="710"/>
    </row>
    <row r="65" spans="1:19" ht="7.15" customHeight="1">
      <c r="A65" s="761"/>
      <c r="B65" s="761"/>
      <c r="C65" s="761"/>
      <c r="D65" s="761"/>
      <c r="E65" s="761"/>
      <c r="F65" s="761"/>
      <c r="G65" s="761"/>
      <c r="H65" s="761"/>
      <c r="I65" s="761"/>
      <c r="J65" s="761"/>
      <c r="K65" s="710"/>
      <c r="L65" s="710"/>
      <c r="M65" s="710"/>
      <c r="N65" s="710"/>
      <c r="O65" s="710"/>
      <c r="P65" s="710"/>
      <c r="Q65" s="710"/>
      <c r="R65" s="710"/>
      <c r="S65" s="710"/>
    </row>
    <row r="66" spans="1:19" ht="16.149999999999999" customHeight="1">
      <c r="A66" s="822" t="s">
        <v>1265</v>
      </c>
      <c r="B66" s="822"/>
      <c r="C66" s="822"/>
      <c r="D66" s="822"/>
      <c r="E66" s="822"/>
      <c r="F66" s="822"/>
      <c r="G66" s="822"/>
      <c r="H66" s="822"/>
      <c r="I66" s="822"/>
      <c r="J66" s="822"/>
      <c r="K66" s="710"/>
      <c r="L66" s="710"/>
      <c r="M66" s="710"/>
      <c r="N66" s="710"/>
      <c r="O66" s="710"/>
      <c r="P66" s="710"/>
      <c r="Q66" s="710"/>
      <c r="R66" s="710"/>
      <c r="S66" s="710"/>
    </row>
    <row r="67" spans="1:19">
      <c r="A67" s="822"/>
      <c r="B67" s="822"/>
      <c r="C67" s="822"/>
      <c r="D67" s="822"/>
      <c r="E67" s="822"/>
      <c r="F67" s="822"/>
      <c r="G67" s="822"/>
      <c r="H67" s="822"/>
      <c r="I67" s="822"/>
      <c r="J67" s="822"/>
      <c r="K67" s="710"/>
      <c r="L67" s="710"/>
      <c r="M67" s="710"/>
      <c r="N67" s="710"/>
      <c r="O67" s="710"/>
      <c r="P67" s="710"/>
      <c r="Q67" s="710"/>
      <c r="R67" s="710"/>
      <c r="S67" s="710"/>
    </row>
    <row r="68" spans="1:19" ht="7.15" customHeight="1">
      <c r="A68" s="761"/>
      <c r="B68" s="761"/>
      <c r="C68" s="761"/>
      <c r="D68" s="761"/>
      <c r="E68" s="761"/>
      <c r="F68" s="761"/>
      <c r="G68" s="761"/>
      <c r="H68" s="761"/>
      <c r="I68" s="761"/>
      <c r="J68" s="761"/>
      <c r="K68" s="710"/>
      <c r="L68" s="710"/>
      <c r="M68" s="710"/>
      <c r="N68" s="710"/>
      <c r="O68" s="710"/>
      <c r="P68" s="710"/>
      <c r="Q68" s="710"/>
      <c r="R68" s="710"/>
      <c r="S68" s="710"/>
    </row>
    <row r="69" spans="1:19" ht="16.149999999999999" customHeight="1">
      <c r="A69" s="822" t="s">
        <v>951</v>
      </c>
      <c r="B69" s="822"/>
      <c r="C69" s="822"/>
      <c r="D69" s="822"/>
      <c r="E69" s="822"/>
      <c r="F69" s="822"/>
      <c r="G69" s="822"/>
      <c r="H69" s="822"/>
      <c r="I69" s="822"/>
      <c r="J69" s="822"/>
      <c r="K69" s="710"/>
      <c r="L69" s="710"/>
      <c r="M69" s="710"/>
      <c r="N69" s="710"/>
      <c r="O69" s="710"/>
      <c r="P69" s="710"/>
      <c r="Q69" s="710"/>
      <c r="R69" s="710"/>
      <c r="S69" s="710"/>
    </row>
    <row r="70" spans="1:19">
      <c r="A70" s="822"/>
      <c r="B70" s="822"/>
      <c r="C70" s="822"/>
      <c r="D70" s="822"/>
      <c r="E70" s="822"/>
      <c r="F70" s="822"/>
      <c r="G70" s="822"/>
      <c r="H70" s="822"/>
      <c r="I70" s="822"/>
      <c r="J70" s="822"/>
      <c r="K70" s="710"/>
      <c r="L70" s="710"/>
      <c r="M70" s="710"/>
      <c r="N70" s="710"/>
      <c r="O70" s="710"/>
      <c r="P70" s="710"/>
      <c r="Q70" s="710"/>
      <c r="R70" s="710"/>
      <c r="S70" s="710"/>
    </row>
    <row r="71" spans="1:19">
      <c r="A71" s="710"/>
      <c r="B71" s="710"/>
      <c r="C71" s="710"/>
      <c r="D71" s="710"/>
      <c r="E71" s="710"/>
      <c r="F71" s="710"/>
      <c r="G71" s="710"/>
      <c r="H71" s="710"/>
      <c r="I71" s="710"/>
      <c r="J71" s="710"/>
      <c r="K71" s="710"/>
      <c r="L71" s="710"/>
      <c r="M71" s="710"/>
      <c r="N71" s="710"/>
      <c r="O71" s="710"/>
      <c r="P71" s="710"/>
      <c r="Q71" s="710"/>
      <c r="R71" s="710"/>
      <c r="S71" s="710"/>
    </row>
    <row r="72" spans="1:19">
      <c r="A72" s="758" t="s">
        <v>936</v>
      </c>
      <c r="B72" s="710"/>
      <c r="C72" s="710"/>
      <c r="D72" s="710"/>
      <c r="E72" s="710"/>
      <c r="F72" s="710"/>
      <c r="G72" s="710"/>
      <c r="H72" s="710"/>
      <c r="I72" s="710"/>
      <c r="J72" s="710"/>
      <c r="K72" s="710"/>
      <c r="L72" s="710"/>
      <c r="M72" s="710"/>
      <c r="N72" s="710"/>
      <c r="O72" s="710"/>
      <c r="P72" s="710"/>
      <c r="Q72" s="710"/>
      <c r="R72" s="710"/>
      <c r="S72" s="710"/>
    </row>
    <row r="73" spans="1:19" ht="7.15" customHeight="1">
      <c r="A73" s="710"/>
      <c r="B73" s="710"/>
      <c r="C73" s="710"/>
      <c r="D73" s="710"/>
      <c r="E73" s="710"/>
      <c r="F73" s="710"/>
      <c r="G73" s="710"/>
      <c r="H73" s="710"/>
      <c r="I73" s="710"/>
      <c r="J73" s="710"/>
      <c r="K73" s="710"/>
      <c r="L73" s="710"/>
      <c r="M73" s="710"/>
      <c r="N73" s="710"/>
      <c r="O73" s="710"/>
      <c r="P73" s="710"/>
      <c r="Q73" s="710"/>
      <c r="R73" s="710"/>
      <c r="S73" s="710"/>
    </row>
    <row r="74" spans="1:19">
      <c r="A74" s="822" t="s">
        <v>1267</v>
      </c>
      <c r="B74" s="822"/>
      <c r="C74" s="822"/>
      <c r="D74" s="822"/>
      <c r="E74" s="822"/>
      <c r="F74" s="822"/>
      <c r="G74" s="822"/>
      <c r="H74" s="822"/>
      <c r="I74" s="822"/>
      <c r="J74" s="822"/>
      <c r="K74" s="710"/>
      <c r="L74" s="710"/>
      <c r="M74" s="710"/>
      <c r="N74" s="710"/>
      <c r="O74" s="710"/>
      <c r="P74" s="710"/>
      <c r="Q74" s="710"/>
      <c r="R74" s="710"/>
      <c r="S74" s="710"/>
    </row>
    <row r="75" spans="1:19">
      <c r="A75" s="822"/>
      <c r="B75" s="822"/>
      <c r="C75" s="822"/>
      <c r="D75" s="822"/>
      <c r="E75" s="822"/>
      <c r="F75" s="822"/>
      <c r="G75" s="822"/>
      <c r="H75" s="822"/>
      <c r="I75" s="822"/>
      <c r="J75" s="822"/>
      <c r="K75" s="710"/>
      <c r="L75" s="710"/>
      <c r="M75" s="710"/>
      <c r="N75" s="710"/>
      <c r="O75" s="710"/>
      <c r="P75" s="710"/>
      <c r="Q75" s="710"/>
      <c r="R75" s="710"/>
      <c r="S75" s="710"/>
    </row>
    <row r="76" spans="1:19">
      <c r="A76" s="822"/>
      <c r="B76" s="822"/>
      <c r="C76" s="822"/>
      <c r="D76" s="822"/>
      <c r="E76" s="822"/>
      <c r="F76" s="822"/>
      <c r="G76" s="822"/>
      <c r="H76" s="822"/>
      <c r="I76" s="822"/>
      <c r="J76" s="822"/>
      <c r="K76" s="710"/>
      <c r="L76" s="710"/>
      <c r="M76" s="710"/>
      <c r="N76" s="710"/>
      <c r="O76" s="710"/>
      <c r="P76" s="710"/>
      <c r="Q76" s="710"/>
      <c r="R76" s="710"/>
      <c r="S76" s="710"/>
    </row>
    <row r="77" spans="1:19" ht="15.6" customHeight="1">
      <c r="A77" s="827"/>
      <c r="B77" s="827"/>
      <c r="C77" s="827"/>
      <c r="D77" s="827"/>
      <c r="E77" s="827"/>
      <c r="F77" s="827"/>
      <c r="G77" s="827"/>
      <c r="H77" s="827"/>
      <c r="I77" s="827"/>
      <c r="J77" s="827"/>
      <c r="K77" s="710"/>
      <c r="L77" s="710"/>
      <c r="M77" s="710"/>
      <c r="N77" s="710"/>
      <c r="O77" s="710"/>
      <c r="P77" s="710"/>
      <c r="Q77" s="710"/>
      <c r="R77" s="710"/>
      <c r="S77" s="710"/>
    </row>
    <row r="78" spans="1:19">
      <c r="A78" s="827"/>
      <c r="B78" s="827"/>
      <c r="C78" s="827"/>
      <c r="D78" s="827"/>
      <c r="E78" s="827"/>
      <c r="F78" s="827"/>
      <c r="G78" s="827"/>
      <c r="H78" s="827"/>
      <c r="I78" s="827"/>
      <c r="J78" s="827"/>
      <c r="K78" s="710"/>
      <c r="L78" s="710"/>
      <c r="M78" s="710"/>
      <c r="N78" s="710"/>
      <c r="O78" s="710"/>
      <c r="P78" s="710"/>
      <c r="Q78" s="710"/>
      <c r="R78" s="710"/>
      <c r="S78" s="710"/>
    </row>
    <row r="79" spans="1:19">
      <c r="A79" s="724" t="s">
        <v>937</v>
      </c>
      <c r="B79" s="828" t="s">
        <v>1268</v>
      </c>
      <c r="C79" s="827"/>
      <c r="D79" s="827"/>
      <c r="E79" s="827"/>
      <c r="F79" s="827"/>
      <c r="G79" s="827"/>
      <c r="H79" s="827"/>
      <c r="I79" s="827"/>
      <c r="J79" s="827"/>
      <c r="K79" s="710"/>
      <c r="L79" s="710"/>
      <c r="M79" s="710"/>
      <c r="N79" s="710"/>
      <c r="O79" s="710"/>
      <c r="P79" s="710"/>
      <c r="Q79" s="710"/>
      <c r="R79" s="710"/>
      <c r="S79" s="710"/>
    </row>
    <row r="80" spans="1:19">
      <c r="A80" s="724"/>
      <c r="B80" s="828"/>
      <c r="C80" s="827"/>
      <c r="D80" s="827"/>
      <c r="E80" s="827"/>
      <c r="F80" s="827"/>
      <c r="G80" s="827"/>
      <c r="H80" s="827"/>
      <c r="I80" s="827"/>
      <c r="J80" s="827"/>
      <c r="K80" s="710"/>
      <c r="L80" s="710"/>
      <c r="M80" s="710"/>
      <c r="N80" s="710"/>
      <c r="O80" s="710"/>
      <c r="P80" s="710"/>
      <c r="Q80" s="710"/>
      <c r="R80" s="710"/>
      <c r="S80" s="710"/>
    </row>
    <row r="81" spans="1:19">
      <c r="A81" s="724"/>
      <c r="B81" s="827"/>
      <c r="C81" s="827"/>
      <c r="D81" s="827"/>
      <c r="E81" s="827"/>
      <c r="F81" s="827"/>
      <c r="G81" s="827"/>
      <c r="H81" s="827"/>
      <c r="I81" s="827"/>
      <c r="J81" s="827"/>
      <c r="K81" s="710"/>
      <c r="L81" s="710"/>
      <c r="M81" s="710"/>
      <c r="N81" s="710"/>
      <c r="O81" s="710"/>
      <c r="P81" s="710"/>
      <c r="Q81" s="710"/>
      <c r="R81" s="710"/>
      <c r="S81" s="710"/>
    </row>
    <row r="82" spans="1:19">
      <c r="A82" s="724" t="s">
        <v>938</v>
      </c>
      <c r="B82" s="828" t="s">
        <v>1269</v>
      </c>
      <c r="C82" s="827"/>
      <c r="D82" s="827"/>
      <c r="E82" s="827"/>
      <c r="F82" s="827"/>
      <c r="G82" s="827"/>
      <c r="H82" s="827"/>
      <c r="I82" s="827"/>
      <c r="J82" s="827"/>
      <c r="K82" s="710"/>
      <c r="L82" s="710"/>
      <c r="M82" s="710"/>
      <c r="N82" s="710"/>
      <c r="O82" s="710"/>
      <c r="P82" s="710"/>
      <c r="Q82" s="710"/>
      <c r="R82" s="710"/>
      <c r="S82" s="710"/>
    </row>
    <row r="83" spans="1:19">
      <c r="A83" s="724"/>
      <c r="B83" s="827"/>
      <c r="C83" s="827"/>
      <c r="D83" s="827"/>
      <c r="E83" s="827"/>
      <c r="F83" s="827"/>
      <c r="G83" s="827"/>
      <c r="H83" s="827"/>
      <c r="I83" s="827"/>
      <c r="J83" s="827"/>
      <c r="K83" s="710"/>
      <c r="L83" s="831" t="s">
        <v>1285</v>
      </c>
      <c r="M83" s="832"/>
      <c r="N83" s="832"/>
      <c r="O83" s="832"/>
      <c r="P83" s="832"/>
      <c r="Q83" s="710"/>
      <c r="R83" s="710"/>
      <c r="S83" s="710"/>
    </row>
    <row r="84" spans="1:19" ht="13.5" thickBot="1">
      <c r="A84" s="724" t="s">
        <v>939</v>
      </c>
      <c r="B84" s="828" t="s">
        <v>1275</v>
      </c>
      <c r="C84" s="827"/>
      <c r="D84" s="827"/>
      <c r="E84" s="827"/>
      <c r="F84" s="827"/>
      <c r="G84" s="827"/>
      <c r="H84" s="827"/>
      <c r="I84" s="827"/>
      <c r="J84" s="827"/>
      <c r="K84" s="710"/>
      <c r="L84" s="833"/>
      <c r="M84" s="833"/>
      <c r="N84" s="833"/>
      <c r="O84" s="833"/>
      <c r="P84" s="833"/>
      <c r="Q84" s="710"/>
      <c r="R84" s="710"/>
      <c r="S84" s="710"/>
    </row>
    <row r="85" spans="1:19" ht="15" thickBot="1">
      <c r="A85" s="724"/>
      <c r="B85" s="828"/>
      <c r="C85" s="827"/>
      <c r="D85" s="827"/>
      <c r="E85" s="827"/>
      <c r="F85" s="827"/>
      <c r="G85" s="827"/>
      <c r="H85" s="827"/>
      <c r="I85" s="827"/>
      <c r="J85" s="827"/>
      <c r="K85" s="710"/>
      <c r="L85" s="802" t="s">
        <v>945</v>
      </c>
      <c r="M85" s="803" t="s">
        <v>1270</v>
      </c>
      <c r="N85" s="804" t="s">
        <v>1276</v>
      </c>
      <c r="O85" s="805" t="s">
        <v>1271</v>
      </c>
      <c r="P85" s="804" t="s">
        <v>1277</v>
      </c>
      <c r="Q85" s="710"/>
      <c r="R85" s="710"/>
      <c r="S85" s="710"/>
    </row>
    <row r="86" spans="1:19">
      <c r="A86" s="724"/>
      <c r="B86" s="828"/>
      <c r="C86" s="827"/>
      <c r="D86" s="827"/>
      <c r="E86" s="827"/>
      <c r="F86" s="827"/>
      <c r="G86" s="827"/>
      <c r="H86" s="827"/>
      <c r="I86" s="827"/>
      <c r="J86" s="827"/>
      <c r="K86" s="710"/>
      <c r="L86" s="806" t="s">
        <v>1272</v>
      </c>
      <c r="M86" s="807">
        <v>7278</v>
      </c>
      <c r="N86" s="815">
        <f>M86/2</f>
        <v>3639</v>
      </c>
      <c r="O86" s="808">
        <v>1872</v>
      </c>
      <c r="P86" s="815">
        <f>O86/2</f>
        <v>936</v>
      </c>
      <c r="Q86" s="710"/>
      <c r="R86" s="710"/>
      <c r="S86" s="710"/>
    </row>
    <row r="87" spans="1:19">
      <c r="A87" s="724"/>
      <c r="B87" s="828"/>
      <c r="C87" s="827"/>
      <c r="D87" s="827"/>
      <c r="E87" s="827"/>
      <c r="F87" s="827"/>
      <c r="G87" s="827"/>
      <c r="H87" s="827"/>
      <c r="I87" s="827"/>
      <c r="J87" s="827"/>
      <c r="K87" s="710"/>
      <c r="L87" s="809" t="s">
        <v>1273</v>
      </c>
      <c r="M87" s="810">
        <v>7113</v>
      </c>
      <c r="N87" s="816">
        <f t="shared" ref="N87:P88" si="0">M87/2</f>
        <v>3556.5</v>
      </c>
      <c r="O87" s="811">
        <v>1087</v>
      </c>
      <c r="P87" s="816">
        <f t="shared" si="0"/>
        <v>543.5</v>
      </c>
      <c r="Q87" s="710"/>
      <c r="R87" s="710"/>
      <c r="S87" s="710"/>
    </row>
    <row r="88" spans="1:19" ht="13.5" thickBot="1">
      <c r="A88" s="724"/>
      <c r="B88" s="828"/>
      <c r="C88" s="827"/>
      <c r="D88" s="827"/>
      <c r="E88" s="827"/>
      <c r="F88" s="827"/>
      <c r="G88" s="827"/>
      <c r="H88" s="827"/>
      <c r="I88" s="827"/>
      <c r="J88" s="827"/>
      <c r="K88" s="710"/>
      <c r="L88" s="812" t="s">
        <v>1274</v>
      </c>
      <c r="M88" s="813">
        <v>5323</v>
      </c>
      <c r="N88" s="817">
        <f t="shared" si="0"/>
        <v>2661.5</v>
      </c>
      <c r="O88" s="814">
        <v>-3547</v>
      </c>
      <c r="P88" s="817">
        <f t="shared" si="0"/>
        <v>-1773.5</v>
      </c>
      <c r="Q88" s="710"/>
      <c r="R88" s="710"/>
      <c r="S88" s="710"/>
    </row>
    <row r="89" spans="1:19" ht="13.15" customHeight="1">
      <c r="A89" s="724"/>
      <c r="B89" s="828"/>
      <c r="C89" s="827"/>
      <c r="D89" s="827"/>
      <c r="E89" s="827"/>
      <c r="F89" s="827"/>
      <c r="G89" s="827"/>
      <c r="H89" s="827"/>
      <c r="I89" s="827"/>
      <c r="J89" s="827"/>
      <c r="K89" s="710"/>
      <c r="L89" s="834" t="s">
        <v>1278</v>
      </c>
      <c r="M89" s="835"/>
      <c r="N89" s="835"/>
      <c r="O89" s="835"/>
      <c r="P89" s="835"/>
      <c r="Q89" s="710"/>
      <c r="R89" s="710"/>
      <c r="S89" s="710"/>
    </row>
    <row r="90" spans="1:19" ht="13.15" customHeight="1">
      <c r="A90" s="724"/>
      <c r="B90" s="827"/>
      <c r="C90" s="827"/>
      <c r="D90" s="827"/>
      <c r="E90" s="827"/>
      <c r="F90" s="827"/>
      <c r="G90" s="827"/>
      <c r="H90" s="827"/>
      <c r="I90" s="827"/>
      <c r="J90" s="827"/>
      <c r="K90" s="710"/>
      <c r="L90" s="830"/>
      <c r="M90" s="830"/>
      <c r="N90" s="830"/>
      <c r="O90" s="830"/>
      <c r="P90" s="830"/>
      <c r="Q90" s="710"/>
      <c r="R90" s="710"/>
      <c r="S90" s="710"/>
    </row>
    <row r="91" spans="1:19">
      <c r="A91" s="724" t="s">
        <v>940</v>
      </c>
      <c r="B91" s="828" t="s">
        <v>1279</v>
      </c>
      <c r="C91" s="827"/>
      <c r="D91" s="827"/>
      <c r="E91" s="827"/>
      <c r="F91" s="827"/>
      <c r="G91" s="827"/>
      <c r="H91" s="827"/>
      <c r="I91" s="827"/>
      <c r="J91" s="827"/>
      <c r="K91" s="710"/>
      <c r="L91" s="830"/>
      <c r="M91" s="830"/>
      <c r="N91" s="830"/>
      <c r="O91" s="830"/>
      <c r="P91" s="830"/>
      <c r="Q91" s="710"/>
      <c r="R91" s="710"/>
      <c r="S91" s="710"/>
    </row>
    <row r="92" spans="1:19">
      <c r="A92" s="724"/>
      <c r="B92" s="827"/>
      <c r="C92" s="827"/>
      <c r="D92" s="827"/>
      <c r="E92" s="827"/>
      <c r="F92" s="827"/>
      <c r="G92" s="827"/>
      <c r="H92" s="827"/>
      <c r="I92" s="827"/>
      <c r="J92" s="827"/>
      <c r="K92" s="710"/>
      <c r="L92" s="830"/>
      <c r="M92" s="830"/>
      <c r="N92" s="830"/>
      <c r="O92" s="830"/>
      <c r="P92" s="830"/>
      <c r="Q92" s="710"/>
      <c r="R92" s="710"/>
      <c r="S92" s="710"/>
    </row>
    <row r="93" spans="1:19">
      <c r="A93" s="724"/>
      <c r="B93" s="827"/>
      <c r="C93" s="827"/>
      <c r="D93" s="827"/>
      <c r="E93" s="827"/>
      <c r="F93" s="827"/>
      <c r="G93" s="827"/>
      <c r="H93" s="827"/>
      <c r="I93" s="827"/>
      <c r="J93" s="827"/>
      <c r="K93" s="710"/>
      <c r="L93" s="830"/>
      <c r="M93" s="830"/>
      <c r="N93" s="830"/>
      <c r="O93" s="830"/>
      <c r="P93" s="830"/>
      <c r="Q93" s="710"/>
      <c r="R93" s="710"/>
      <c r="S93" s="710"/>
    </row>
    <row r="94" spans="1:19">
      <c r="A94" s="724"/>
      <c r="B94" s="827"/>
      <c r="C94" s="827"/>
      <c r="D94" s="827"/>
      <c r="E94" s="827"/>
      <c r="F94" s="827"/>
      <c r="G94" s="827"/>
      <c r="H94" s="827"/>
      <c r="I94" s="827"/>
      <c r="J94" s="827"/>
      <c r="K94" s="710"/>
      <c r="L94" s="830"/>
      <c r="M94" s="830"/>
      <c r="N94" s="830"/>
      <c r="O94" s="830"/>
      <c r="P94" s="830"/>
      <c r="Q94" s="710"/>
      <c r="R94" s="710"/>
      <c r="S94" s="710"/>
    </row>
    <row r="95" spans="1:19">
      <c r="A95" s="724"/>
      <c r="B95" s="827"/>
      <c r="C95" s="827"/>
      <c r="D95" s="827"/>
      <c r="E95" s="827"/>
      <c r="F95" s="827"/>
      <c r="G95" s="827"/>
      <c r="H95" s="827"/>
      <c r="I95" s="827"/>
      <c r="J95" s="827"/>
      <c r="K95" s="710"/>
      <c r="L95" s="830"/>
      <c r="M95" s="830"/>
      <c r="N95" s="830"/>
      <c r="O95" s="830"/>
      <c r="P95" s="830"/>
      <c r="Q95" s="710"/>
      <c r="R95" s="710"/>
      <c r="S95" s="710"/>
    </row>
    <row r="96" spans="1:19">
      <c r="A96" s="724"/>
      <c r="B96" s="827"/>
      <c r="C96" s="827"/>
      <c r="D96" s="827"/>
      <c r="E96" s="827"/>
      <c r="F96" s="827"/>
      <c r="G96" s="827"/>
      <c r="H96" s="827"/>
      <c r="I96" s="827"/>
      <c r="J96" s="827"/>
      <c r="K96" s="710"/>
      <c r="L96" s="830"/>
      <c r="M96" s="830"/>
      <c r="N96" s="830"/>
      <c r="O96" s="830"/>
      <c r="P96" s="830"/>
      <c r="Q96" s="710"/>
      <c r="R96" s="710"/>
      <c r="S96" s="710"/>
    </row>
    <row r="97" spans="1:19">
      <c r="A97" s="724"/>
      <c r="B97" s="827"/>
      <c r="C97" s="827"/>
      <c r="D97" s="827"/>
      <c r="E97" s="827"/>
      <c r="F97" s="827"/>
      <c r="G97" s="827"/>
      <c r="H97" s="827"/>
      <c r="I97" s="827"/>
      <c r="J97" s="827"/>
      <c r="K97" s="710"/>
      <c r="L97" s="830"/>
      <c r="M97" s="830"/>
      <c r="N97" s="830"/>
      <c r="O97" s="830"/>
      <c r="P97" s="830"/>
      <c r="Q97" s="710"/>
      <c r="R97" s="710"/>
      <c r="S97" s="710"/>
    </row>
    <row r="98" spans="1:19">
      <c r="A98" s="724"/>
      <c r="B98" s="827"/>
      <c r="C98" s="827"/>
      <c r="D98" s="827"/>
      <c r="E98" s="827"/>
      <c r="F98" s="827"/>
      <c r="G98" s="827"/>
      <c r="H98" s="827"/>
      <c r="I98" s="827"/>
      <c r="J98" s="827"/>
      <c r="K98" s="710"/>
      <c r="L98" s="710"/>
      <c r="M98" s="710"/>
      <c r="N98" s="710"/>
      <c r="O98" s="710"/>
      <c r="P98" s="710"/>
      <c r="Q98" s="710"/>
      <c r="R98" s="710"/>
      <c r="S98" s="710"/>
    </row>
    <row r="99" spans="1:19">
      <c r="A99" s="724"/>
      <c r="B99" s="827"/>
      <c r="C99" s="827"/>
      <c r="D99" s="827"/>
      <c r="E99" s="827"/>
      <c r="F99" s="827"/>
      <c r="G99" s="827"/>
      <c r="H99" s="827"/>
      <c r="I99" s="827"/>
      <c r="J99" s="827"/>
      <c r="K99" s="710"/>
      <c r="L99" s="710"/>
      <c r="M99" s="710"/>
      <c r="N99" s="710"/>
      <c r="O99" s="710"/>
      <c r="P99" s="710"/>
      <c r="Q99" s="710"/>
      <c r="R99" s="710"/>
      <c r="S99" s="710"/>
    </row>
    <row r="100" spans="1:19">
      <c r="A100" s="724"/>
      <c r="B100" s="827"/>
      <c r="C100" s="827"/>
      <c r="D100" s="827"/>
      <c r="E100" s="827"/>
      <c r="F100" s="827"/>
      <c r="G100" s="827"/>
      <c r="H100" s="827"/>
      <c r="I100" s="827"/>
      <c r="J100" s="827"/>
      <c r="K100" s="710"/>
      <c r="L100" s="710"/>
      <c r="M100" s="710"/>
      <c r="N100" s="710"/>
      <c r="O100" s="710"/>
      <c r="P100" s="710"/>
      <c r="Q100" s="710"/>
      <c r="R100" s="710"/>
      <c r="S100" s="710"/>
    </row>
    <row r="101" spans="1:19">
      <c r="A101" s="724" t="s">
        <v>942</v>
      </c>
      <c r="B101" s="828" t="s">
        <v>948</v>
      </c>
      <c r="C101" s="827"/>
      <c r="D101" s="827"/>
      <c r="E101" s="827"/>
      <c r="F101" s="827"/>
      <c r="G101" s="827"/>
      <c r="H101" s="827"/>
      <c r="I101" s="827"/>
      <c r="J101" s="827"/>
      <c r="K101" s="710"/>
      <c r="L101" s="710"/>
      <c r="M101" s="710"/>
      <c r="N101" s="710"/>
      <c r="O101" s="710"/>
      <c r="P101" s="710"/>
      <c r="Q101" s="710"/>
      <c r="R101" s="710"/>
      <c r="S101" s="710"/>
    </row>
    <row r="102" spans="1:19">
      <c r="A102" s="724" t="s">
        <v>943</v>
      </c>
      <c r="B102" s="828" t="s">
        <v>1286</v>
      </c>
      <c r="C102" s="827"/>
      <c r="D102" s="827"/>
      <c r="E102" s="827"/>
      <c r="F102" s="827"/>
      <c r="G102" s="827"/>
      <c r="H102" s="827"/>
      <c r="I102" s="827"/>
      <c r="J102" s="827"/>
      <c r="K102" s="710"/>
      <c r="L102" s="710"/>
      <c r="M102" s="710"/>
      <c r="N102" s="710"/>
      <c r="O102" s="710"/>
      <c r="P102" s="710"/>
      <c r="Q102" s="710"/>
      <c r="R102" s="710"/>
      <c r="S102" s="710"/>
    </row>
    <row r="103" spans="1:19">
      <c r="A103" s="724"/>
      <c r="B103" s="828"/>
      <c r="C103" s="827"/>
      <c r="D103" s="827"/>
      <c r="E103" s="827"/>
      <c r="F103" s="827"/>
      <c r="G103" s="827"/>
      <c r="H103" s="827"/>
      <c r="I103" s="827"/>
      <c r="J103" s="827"/>
      <c r="K103" s="710"/>
      <c r="L103" s="710"/>
      <c r="M103" s="710"/>
      <c r="N103" s="710"/>
      <c r="O103" s="710"/>
      <c r="P103" s="710"/>
      <c r="Q103" s="710"/>
      <c r="R103" s="710"/>
      <c r="S103" s="710"/>
    </row>
    <row r="104" spans="1:19">
      <c r="A104" s="724"/>
      <c r="B104" s="828"/>
      <c r="C104" s="827"/>
      <c r="D104" s="827"/>
      <c r="E104" s="827"/>
      <c r="F104" s="827"/>
      <c r="G104" s="827"/>
      <c r="H104" s="827"/>
      <c r="I104" s="827"/>
      <c r="J104" s="827"/>
      <c r="K104" s="710"/>
      <c r="L104" s="710"/>
      <c r="M104" s="710"/>
      <c r="N104" s="710"/>
      <c r="O104" s="710"/>
      <c r="P104" s="710"/>
      <c r="Q104" s="710"/>
      <c r="R104" s="710"/>
      <c r="S104" s="710"/>
    </row>
    <row r="105" spans="1:19">
      <c r="A105" s="724"/>
      <c r="B105" s="827"/>
      <c r="C105" s="827"/>
      <c r="D105" s="827"/>
      <c r="E105" s="827"/>
      <c r="F105" s="827"/>
      <c r="G105" s="827"/>
      <c r="H105" s="827"/>
      <c r="I105" s="827"/>
      <c r="J105" s="827"/>
      <c r="K105" s="710"/>
      <c r="L105" s="710"/>
      <c r="M105" s="710"/>
      <c r="N105" s="710"/>
      <c r="O105" s="710"/>
      <c r="P105" s="710"/>
      <c r="Q105" s="710"/>
      <c r="R105" s="710"/>
      <c r="S105" s="710"/>
    </row>
    <row r="106" spans="1:19">
      <c r="A106" s="828" t="s">
        <v>1280</v>
      </c>
      <c r="B106" s="827"/>
      <c r="C106" s="827"/>
      <c r="D106" s="827"/>
      <c r="E106" s="827"/>
      <c r="F106" s="827"/>
      <c r="G106" s="827"/>
      <c r="H106" s="827"/>
      <c r="I106" s="827"/>
      <c r="J106" s="827"/>
      <c r="K106" s="710"/>
      <c r="L106" s="710"/>
      <c r="M106" s="710"/>
      <c r="N106" s="710"/>
      <c r="O106" s="710"/>
      <c r="P106" s="710"/>
      <c r="Q106" s="710"/>
      <c r="R106" s="710"/>
      <c r="S106" s="710"/>
    </row>
    <row r="107" spans="1:19">
      <c r="A107" s="828" t="s">
        <v>1281</v>
      </c>
      <c r="B107" s="827"/>
      <c r="C107" s="827"/>
      <c r="D107" s="827"/>
      <c r="E107" s="827"/>
      <c r="F107" s="827"/>
      <c r="G107" s="827"/>
      <c r="H107" s="827"/>
      <c r="I107" s="827"/>
      <c r="J107" s="827"/>
      <c r="K107" s="710"/>
      <c r="L107" s="710"/>
      <c r="M107" s="710"/>
      <c r="N107" s="710"/>
      <c r="O107" s="710"/>
      <c r="P107" s="710"/>
      <c r="Q107" s="710"/>
      <c r="R107" s="710"/>
      <c r="S107" s="710"/>
    </row>
    <row r="108" spans="1:19">
      <c r="A108" s="830"/>
      <c r="B108" s="830"/>
      <c r="C108" s="830"/>
      <c r="D108" s="830"/>
      <c r="E108" s="830"/>
      <c r="F108" s="830"/>
      <c r="G108" s="830"/>
      <c r="H108" s="830"/>
      <c r="I108" s="830"/>
      <c r="J108" s="830"/>
      <c r="K108" s="710"/>
      <c r="L108" s="710"/>
      <c r="M108" s="710"/>
      <c r="N108" s="710"/>
      <c r="O108" s="710"/>
      <c r="P108" s="710"/>
      <c r="Q108" s="710"/>
      <c r="R108" s="710"/>
      <c r="S108" s="710"/>
    </row>
    <row r="109" spans="1:19">
      <c r="A109" s="828" t="s">
        <v>1282</v>
      </c>
      <c r="B109" s="827"/>
      <c r="C109" s="827"/>
      <c r="D109" s="827"/>
      <c r="E109" s="827"/>
      <c r="F109" s="827"/>
      <c r="G109" s="827"/>
      <c r="H109" s="827"/>
      <c r="I109" s="827"/>
      <c r="J109" s="827"/>
      <c r="K109" s="710"/>
      <c r="L109" s="710"/>
      <c r="M109" s="710"/>
      <c r="N109" s="710"/>
      <c r="O109" s="710"/>
      <c r="P109" s="710"/>
      <c r="Q109" s="710"/>
      <c r="R109" s="710"/>
      <c r="S109" s="710"/>
    </row>
    <row r="110" spans="1:19">
      <c r="A110" s="828"/>
      <c r="B110" s="827"/>
      <c r="C110" s="827"/>
      <c r="D110" s="827"/>
      <c r="E110" s="827"/>
      <c r="F110" s="827"/>
      <c r="G110" s="827"/>
      <c r="H110" s="827"/>
      <c r="I110" s="827"/>
      <c r="J110" s="827"/>
      <c r="K110" s="710"/>
      <c r="L110" s="710"/>
      <c r="M110" s="710"/>
      <c r="N110" s="710"/>
      <c r="O110" s="710"/>
      <c r="P110" s="710"/>
      <c r="Q110" s="710"/>
      <c r="R110" s="710"/>
      <c r="S110" s="710"/>
    </row>
    <row r="111" spans="1:19">
      <c r="A111" s="827"/>
      <c r="B111" s="827"/>
      <c r="C111" s="827"/>
      <c r="D111" s="827"/>
      <c r="E111" s="827"/>
      <c r="F111" s="827"/>
      <c r="G111" s="827"/>
      <c r="H111" s="827"/>
      <c r="I111" s="827"/>
      <c r="J111" s="827"/>
      <c r="K111" s="710"/>
      <c r="L111" s="710"/>
      <c r="M111" s="710"/>
      <c r="N111" s="710"/>
      <c r="O111" s="710"/>
      <c r="P111" s="710"/>
      <c r="Q111" s="710"/>
      <c r="R111" s="710"/>
      <c r="S111" s="710"/>
    </row>
    <row r="112" spans="1:19">
      <c r="A112" s="827"/>
      <c r="B112" s="827"/>
      <c r="C112" s="827"/>
      <c r="D112" s="827"/>
      <c r="E112" s="827"/>
      <c r="F112" s="827"/>
      <c r="G112" s="827"/>
      <c r="H112" s="827"/>
      <c r="I112" s="827"/>
      <c r="J112" s="827"/>
      <c r="K112" s="710"/>
      <c r="L112" s="710"/>
      <c r="M112" s="710"/>
      <c r="N112" s="710"/>
      <c r="O112" s="710"/>
      <c r="P112" s="710"/>
      <c r="Q112" s="710"/>
      <c r="R112" s="710"/>
      <c r="S112" s="710"/>
    </row>
    <row r="113" spans="1:19">
      <c r="A113" s="828" t="s">
        <v>1283</v>
      </c>
      <c r="B113" s="827"/>
      <c r="C113" s="827"/>
      <c r="D113" s="827"/>
      <c r="E113" s="827"/>
      <c r="F113" s="827"/>
      <c r="G113" s="827"/>
      <c r="H113" s="827"/>
      <c r="I113" s="827"/>
      <c r="J113" s="827"/>
      <c r="K113" s="710"/>
      <c r="L113" s="710"/>
      <c r="M113" s="710"/>
      <c r="N113" s="710"/>
      <c r="O113" s="710"/>
      <c r="P113" s="710"/>
      <c r="Q113" s="710"/>
      <c r="R113" s="710"/>
      <c r="S113" s="710"/>
    </row>
    <row r="114" spans="1:19">
      <c r="A114" s="827"/>
      <c r="B114" s="827"/>
      <c r="C114" s="827"/>
      <c r="D114" s="827"/>
      <c r="E114" s="827"/>
      <c r="F114" s="827"/>
      <c r="G114" s="827"/>
      <c r="H114" s="827"/>
      <c r="I114" s="827"/>
      <c r="J114" s="827"/>
      <c r="K114" s="710"/>
      <c r="L114" s="710"/>
      <c r="M114" s="710"/>
      <c r="N114" s="710"/>
      <c r="O114" s="710"/>
      <c r="P114" s="710"/>
      <c r="Q114" s="710"/>
      <c r="R114" s="710"/>
      <c r="S114" s="710"/>
    </row>
    <row r="115" spans="1:19">
      <c r="A115" s="710"/>
      <c r="B115" s="710"/>
      <c r="C115" s="710"/>
      <c r="D115" s="710"/>
      <c r="E115" s="710"/>
      <c r="F115" s="710"/>
      <c r="G115" s="710"/>
      <c r="H115" s="710"/>
      <c r="I115" s="710"/>
      <c r="J115" s="710"/>
      <c r="K115" s="710"/>
      <c r="L115" s="710"/>
      <c r="M115" s="710"/>
      <c r="N115" s="710"/>
      <c r="O115" s="710"/>
      <c r="P115" s="710"/>
      <c r="Q115" s="710"/>
      <c r="R115" s="710"/>
      <c r="S115" s="710"/>
    </row>
    <row r="116" spans="1:19">
      <c r="A116" s="758" t="s">
        <v>858</v>
      </c>
      <c r="B116" s="710"/>
      <c r="C116" s="710"/>
      <c r="D116" s="710"/>
      <c r="E116" s="710"/>
      <c r="F116" s="710"/>
      <c r="G116" s="710"/>
      <c r="H116" s="710"/>
      <c r="I116" s="710"/>
      <c r="J116" s="710"/>
      <c r="K116" s="710"/>
      <c r="L116" s="710"/>
      <c r="M116" s="710"/>
      <c r="N116" s="710"/>
      <c r="O116" s="710"/>
      <c r="P116" s="710"/>
      <c r="Q116" s="710"/>
      <c r="R116" s="710"/>
      <c r="S116" s="710"/>
    </row>
    <row r="117" spans="1:19">
      <c r="A117" s="823" t="s">
        <v>941</v>
      </c>
      <c r="B117" s="824"/>
      <c r="C117" s="824"/>
      <c r="D117" s="824"/>
      <c r="E117" s="824"/>
      <c r="F117" s="824"/>
      <c r="G117" s="824"/>
      <c r="H117" s="824"/>
      <c r="I117" s="824"/>
      <c r="J117" s="824"/>
      <c r="K117" s="710"/>
      <c r="L117" s="710"/>
      <c r="M117" s="710"/>
      <c r="N117" s="710"/>
      <c r="O117" s="710"/>
      <c r="P117" s="710"/>
      <c r="Q117" s="710"/>
      <c r="R117" s="710"/>
      <c r="S117" s="710"/>
    </row>
    <row r="118" spans="1:19">
      <c r="A118" s="824"/>
      <c r="B118" s="824"/>
      <c r="C118" s="824"/>
      <c r="D118" s="824"/>
      <c r="E118" s="824"/>
      <c r="F118" s="824"/>
      <c r="G118" s="824"/>
      <c r="H118" s="824"/>
      <c r="I118" s="824"/>
      <c r="J118" s="824"/>
      <c r="K118" s="710"/>
      <c r="L118" s="710"/>
      <c r="M118" s="710"/>
      <c r="N118" s="710"/>
      <c r="O118" s="710"/>
      <c r="P118" s="710"/>
      <c r="Q118" s="710"/>
      <c r="R118" s="710"/>
      <c r="S118" s="710"/>
    </row>
    <row r="119" spans="1:19" ht="7.15" customHeight="1">
      <c r="A119" s="761"/>
      <c r="B119" s="761"/>
      <c r="C119" s="761"/>
      <c r="D119" s="761"/>
      <c r="E119" s="761"/>
      <c r="F119" s="761"/>
      <c r="G119" s="761"/>
      <c r="H119" s="761"/>
      <c r="I119" s="761"/>
      <c r="J119" s="761"/>
      <c r="K119" s="710"/>
      <c r="L119" s="710"/>
      <c r="M119" s="710"/>
      <c r="N119" s="710"/>
      <c r="O119" s="710"/>
      <c r="P119" s="710"/>
      <c r="Q119" s="710"/>
      <c r="R119" s="710"/>
      <c r="S119" s="710"/>
    </row>
    <row r="120" spans="1:19">
      <c r="A120" s="829" t="s">
        <v>819</v>
      </c>
      <c r="B120" s="826"/>
      <c r="C120" s="826"/>
      <c r="D120" s="826"/>
      <c r="E120" s="826"/>
      <c r="F120" s="826"/>
      <c r="G120" s="826"/>
      <c r="H120" s="826"/>
      <c r="I120" s="826"/>
      <c r="J120" s="826"/>
      <c r="K120" s="710"/>
      <c r="L120" s="710"/>
      <c r="M120" s="710"/>
      <c r="N120" s="710"/>
      <c r="O120" s="710"/>
      <c r="P120" s="710"/>
      <c r="Q120" s="710"/>
      <c r="R120" s="710"/>
      <c r="S120" s="710"/>
    </row>
    <row r="121" spans="1:19">
      <c r="A121" s="825" t="s">
        <v>820</v>
      </c>
      <c r="B121" s="826"/>
      <c r="C121" s="826"/>
      <c r="D121" s="826"/>
      <c r="E121" s="826"/>
      <c r="F121" s="826"/>
      <c r="G121" s="826"/>
      <c r="H121" s="826"/>
      <c r="I121" s="826"/>
      <c r="J121" s="826"/>
      <c r="K121" s="710"/>
      <c r="L121" s="710"/>
      <c r="M121" s="710"/>
      <c r="N121" s="710"/>
      <c r="O121" s="710"/>
      <c r="P121" s="710"/>
      <c r="Q121" s="710"/>
      <c r="R121" s="710"/>
      <c r="S121" s="710"/>
    </row>
    <row r="122" spans="1:19">
      <c r="A122" s="825" t="s">
        <v>817</v>
      </c>
      <c r="B122" s="826"/>
      <c r="C122" s="826"/>
      <c r="D122" s="826"/>
      <c r="E122" s="826"/>
      <c r="F122" s="826"/>
      <c r="G122" s="826"/>
      <c r="H122" s="826"/>
      <c r="I122" s="826"/>
      <c r="J122" s="826"/>
      <c r="K122" s="710"/>
      <c r="L122" s="710"/>
      <c r="M122" s="710"/>
      <c r="N122" s="710"/>
      <c r="O122" s="710"/>
      <c r="P122" s="710"/>
      <c r="Q122" s="710"/>
      <c r="R122" s="710"/>
      <c r="S122" s="710"/>
    </row>
    <row r="123" spans="1:19">
      <c r="A123" s="825" t="s">
        <v>818</v>
      </c>
      <c r="B123" s="826"/>
      <c r="C123" s="826"/>
      <c r="D123" s="826"/>
      <c r="E123" s="826"/>
      <c r="F123" s="826"/>
      <c r="G123" s="826"/>
      <c r="H123" s="826"/>
      <c r="I123" s="826"/>
      <c r="J123" s="826"/>
      <c r="K123" s="710"/>
      <c r="L123" s="710"/>
      <c r="M123" s="710"/>
      <c r="N123" s="710"/>
      <c r="O123" s="710"/>
      <c r="P123" s="710"/>
      <c r="Q123" s="710"/>
      <c r="R123" s="710"/>
      <c r="S123" s="710"/>
    </row>
    <row r="124" spans="1:19">
      <c r="A124" s="825" t="s">
        <v>1284</v>
      </c>
      <c r="B124" s="826"/>
      <c r="C124" s="826"/>
      <c r="D124" s="826"/>
      <c r="E124" s="826"/>
      <c r="F124" s="826"/>
      <c r="G124" s="826"/>
      <c r="H124" s="826"/>
      <c r="I124" s="826"/>
      <c r="J124" s="826"/>
      <c r="K124" s="710"/>
      <c r="L124" s="710"/>
      <c r="M124" s="710"/>
      <c r="N124" s="710"/>
      <c r="O124" s="710"/>
      <c r="P124" s="710"/>
      <c r="Q124" s="710"/>
      <c r="R124" s="710"/>
      <c r="S124" s="710"/>
    </row>
    <row r="125" spans="1:19">
      <c r="A125" s="820" t="s">
        <v>822</v>
      </c>
      <c r="B125" s="821"/>
      <c r="C125" s="821"/>
      <c r="D125" s="821"/>
      <c r="E125" s="484" t="s">
        <v>1294</v>
      </c>
      <c r="F125" s="486"/>
      <c r="G125" s="485"/>
      <c r="H125" s="485"/>
      <c r="I125" s="485"/>
      <c r="J125" s="485"/>
      <c r="K125" s="710"/>
      <c r="L125" s="710"/>
      <c r="M125" s="710"/>
      <c r="N125" s="710"/>
      <c r="O125" s="710"/>
      <c r="P125" s="710"/>
      <c r="Q125" s="710"/>
      <c r="R125" s="710"/>
      <c r="S125" s="710"/>
    </row>
    <row r="126" spans="1:19">
      <c r="A126" s="710"/>
      <c r="B126" s="710"/>
      <c r="C126" s="762"/>
      <c r="D126" s="710"/>
      <c r="E126" s="710"/>
      <c r="F126" s="710"/>
      <c r="G126" s="710"/>
      <c r="H126" s="710"/>
      <c r="I126" s="710"/>
      <c r="J126" s="710"/>
      <c r="K126" s="710"/>
      <c r="L126" s="710"/>
      <c r="M126" s="710"/>
      <c r="N126" s="710"/>
      <c r="O126" s="710"/>
      <c r="P126" s="710"/>
      <c r="Q126" s="710"/>
      <c r="R126" s="710"/>
      <c r="S126" s="710"/>
    </row>
    <row r="127" spans="1:19">
      <c r="A127" s="710"/>
      <c r="B127" s="710"/>
      <c r="C127" s="710"/>
      <c r="D127" s="710"/>
      <c r="E127" s="710"/>
      <c r="F127" s="710"/>
      <c r="G127" s="710"/>
      <c r="H127" s="710"/>
      <c r="I127" s="710"/>
      <c r="J127" s="710"/>
      <c r="K127" s="710"/>
      <c r="L127" s="710"/>
      <c r="M127" s="710"/>
      <c r="N127" s="710"/>
      <c r="O127" s="710"/>
      <c r="P127" s="710"/>
      <c r="Q127" s="710"/>
      <c r="R127" s="710"/>
      <c r="S127" s="710"/>
    </row>
    <row r="128" spans="1:19">
      <c r="A128" s="710"/>
      <c r="B128" s="710"/>
      <c r="C128" s="710"/>
      <c r="D128" s="710"/>
      <c r="E128" s="710"/>
      <c r="F128" s="710"/>
      <c r="G128" s="710"/>
      <c r="H128" s="710"/>
      <c r="I128" s="710"/>
      <c r="J128" s="710"/>
      <c r="K128" s="710"/>
      <c r="L128" s="710"/>
      <c r="M128" s="710"/>
      <c r="N128" s="710"/>
      <c r="O128" s="710"/>
      <c r="P128" s="710"/>
      <c r="Q128" s="710"/>
      <c r="R128" s="710"/>
      <c r="S128" s="710"/>
    </row>
    <row r="129" spans="1:19">
      <c r="A129" s="710"/>
      <c r="B129" s="710"/>
      <c r="C129" s="710"/>
      <c r="D129" s="710"/>
      <c r="E129" s="710"/>
      <c r="F129" s="710"/>
      <c r="G129" s="710"/>
      <c r="H129" s="710"/>
      <c r="I129" s="710"/>
      <c r="J129" s="710"/>
      <c r="K129" s="710"/>
      <c r="L129" s="710"/>
      <c r="M129" s="710"/>
      <c r="N129" s="710"/>
      <c r="O129" s="710"/>
      <c r="P129" s="710"/>
      <c r="Q129" s="710"/>
      <c r="R129" s="710"/>
      <c r="S129" s="710"/>
    </row>
    <row r="130" spans="1:19">
      <c r="A130" s="710"/>
      <c r="B130" s="710"/>
      <c r="C130" s="710"/>
      <c r="D130" s="710"/>
      <c r="E130" s="710"/>
      <c r="F130" s="710"/>
      <c r="G130" s="710"/>
      <c r="H130" s="710"/>
      <c r="I130" s="710"/>
      <c r="J130" s="710"/>
      <c r="K130" s="710"/>
      <c r="L130" s="710"/>
      <c r="M130" s="710"/>
      <c r="N130" s="710"/>
      <c r="O130" s="710"/>
      <c r="P130" s="710"/>
      <c r="Q130" s="710"/>
      <c r="R130" s="710"/>
      <c r="S130" s="710"/>
    </row>
    <row r="131" spans="1:19">
      <c r="A131" s="710"/>
      <c r="B131" s="710"/>
      <c r="C131" s="710"/>
      <c r="D131" s="710"/>
      <c r="E131" s="710"/>
      <c r="F131" s="710"/>
      <c r="G131" s="710"/>
      <c r="H131" s="710"/>
      <c r="I131" s="710"/>
      <c r="J131" s="710"/>
      <c r="K131" s="710"/>
      <c r="L131" s="710"/>
      <c r="M131" s="710"/>
      <c r="N131" s="710"/>
      <c r="O131" s="710"/>
      <c r="P131" s="710"/>
      <c r="Q131" s="710"/>
      <c r="R131" s="710"/>
      <c r="S131" s="710"/>
    </row>
    <row r="132" spans="1:19">
      <c r="A132" s="710"/>
      <c r="B132" s="710"/>
      <c r="C132" s="710"/>
      <c r="D132" s="710"/>
      <c r="E132" s="710"/>
      <c r="F132" s="710"/>
      <c r="G132" s="710"/>
      <c r="H132" s="710"/>
      <c r="I132" s="710"/>
      <c r="J132" s="710"/>
      <c r="K132" s="710"/>
      <c r="L132" s="710"/>
      <c r="M132" s="710"/>
      <c r="N132" s="710"/>
      <c r="O132" s="710"/>
      <c r="P132" s="710"/>
      <c r="Q132" s="710"/>
      <c r="R132" s="710"/>
      <c r="S132" s="710"/>
    </row>
    <row r="133" spans="1:19">
      <c r="A133" s="710"/>
      <c r="B133" s="710"/>
      <c r="C133" s="710"/>
      <c r="D133" s="710"/>
      <c r="E133" s="710"/>
      <c r="F133" s="710"/>
      <c r="G133" s="710"/>
      <c r="H133" s="710"/>
      <c r="I133" s="710"/>
      <c r="J133" s="710"/>
      <c r="K133" s="710"/>
      <c r="L133" s="710"/>
      <c r="M133" s="710"/>
      <c r="N133" s="710"/>
      <c r="O133" s="710"/>
      <c r="P133" s="710"/>
      <c r="Q133" s="710"/>
      <c r="R133" s="710"/>
      <c r="S133" s="710"/>
    </row>
    <row r="134" spans="1:19">
      <c r="A134" s="710"/>
      <c r="B134" s="710"/>
      <c r="C134" s="710"/>
      <c r="D134" s="710"/>
      <c r="E134" s="710"/>
      <c r="F134" s="710"/>
      <c r="G134" s="710"/>
      <c r="H134" s="710"/>
      <c r="I134" s="710"/>
      <c r="J134" s="710"/>
      <c r="K134" s="710"/>
      <c r="L134" s="710"/>
      <c r="M134" s="710"/>
      <c r="N134" s="710"/>
      <c r="O134" s="710"/>
      <c r="P134" s="710"/>
      <c r="Q134" s="710"/>
      <c r="R134" s="710"/>
      <c r="S134" s="710"/>
    </row>
    <row r="135" spans="1:19">
      <c r="A135" s="710"/>
      <c r="B135" s="710"/>
      <c r="C135" s="710"/>
      <c r="D135" s="710"/>
      <c r="E135" s="710"/>
      <c r="F135" s="710"/>
      <c r="G135" s="710"/>
      <c r="H135" s="710"/>
      <c r="I135" s="710"/>
      <c r="J135" s="710"/>
      <c r="K135" s="710"/>
      <c r="L135" s="710"/>
      <c r="M135" s="710"/>
      <c r="N135" s="710"/>
      <c r="O135" s="710"/>
      <c r="P135" s="710"/>
      <c r="Q135" s="710"/>
      <c r="R135" s="710"/>
      <c r="S135" s="710"/>
    </row>
    <row r="136" spans="1:19">
      <c r="A136" s="710"/>
      <c r="B136" s="710"/>
      <c r="C136" s="710"/>
      <c r="D136" s="710"/>
      <c r="E136" s="710"/>
      <c r="F136" s="710"/>
      <c r="G136" s="710"/>
      <c r="H136" s="710"/>
      <c r="I136" s="710"/>
      <c r="J136" s="710"/>
      <c r="K136" s="710"/>
      <c r="L136" s="710"/>
      <c r="M136" s="710"/>
      <c r="N136" s="710"/>
      <c r="O136" s="710"/>
      <c r="P136" s="710"/>
      <c r="Q136" s="710"/>
      <c r="R136" s="710"/>
      <c r="S136" s="710"/>
    </row>
    <row r="137" spans="1:19">
      <c r="A137" s="710"/>
      <c r="B137" s="710"/>
      <c r="C137" s="710"/>
      <c r="D137" s="710"/>
      <c r="E137" s="710"/>
      <c r="F137" s="710"/>
      <c r="G137" s="710"/>
      <c r="H137" s="710"/>
      <c r="I137" s="710"/>
      <c r="J137" s="710"/>
      <c r="K137" s="710"/>
      <c r="L137" s="710"/>
      <c r="M137" s="710"/>
      <c r="N137" s="710"/>
      <c r="O137" s="710"/>
      <c r="P137" s="710"/>
      <c r="Q137" s="710"/>
      <c r="R137" s="710"/>
      <c r="S137" s="710"/>
    </row>
    <row r="138" spans="1:19">
      <c r="A138" s="710"/>
      <c r="B138" s="710"/>
      <c r="C138" s="710"/>
      <c r="D138" s="710"/>
      <c r="E138" s="710"/>
      <c r="F138" s="710"/>
      <c r="G138" s="710"/>
      <c r="H138" s="710"/>
      <c r="I138" s="710"/>
      <c r="J138" s="710"/>
      <c r="K138" s="710"/>
      <c r="L138" s="710"/>
      <c r="M138" s="710"/>
      <c r="N138" s="710"/>
      <c r="O138" s="710"/>
      <c r="P138" s="710"/>
      <c r="Q138" s="710"/>
      <c r="R138" s="710"/>
      <c r="S138" s="710"/>
    </row>
    <row r="139" spans="1:19">
      <c r="A139" s="710"/>
      <c r="B139" s="710"/>
      <c r="C139" s="710"/>
      <c r="D139" s="710"/>
      <c r="E139" s="710"/>
      <c r="F139" s="710"/>
      <c r="G139" s="710"/>
      <c r="H139" s="710"/>
      <c r="I139" s="710"/>
      <c r="J139" s="710"/>
      <c r="K139" s="710"/>
      <c r="L139" s="710"/>
      <c r="M139" s="710"/>
      <c r="N139" s="710"/>
      <c r="O139" s="710"/>
      <c r="P139" s="710"/>
      <c r="Q139" s="710"/>
      <c r="R139" s="710"/>
      <c r="S139" s="710"/>
    </row>
    <row r="140" spans="1:19">
      <c r="A140" s="710"/>
      <c r="B140" s="710"/>
      <c r="C140" s="710"/>
      <c r="D140" s="710"/>
      <c r="E140" s="710"/>
      <c r="F140" s="710"/>
      <c r="G140" s="710"/>
      <c r="H140" s="710"/>
      <c r="I140" s="710"/>
      <c r="J140" s="710"/>
      <c r="K140" s="710"/>
      <c r="L140" s="710"/>
      <c r="M140" s="710"/>
      <c r="N140" s="710"/>
      <c r="O140" s="710"/>
      <c r="P140" s="710"/>
      <c r="Q140" s="710"/>
      <c r="R140" s="710"/>
      <c r="S140" s="710"/>
    </row>
    <row r="141" spans="1:19">
      <c r="A141" s="710"/>
      <c r="B141" s="710"/>
      <c r="C141" s="710"/>
      <c r="D141" s="710"/>
      <c r="E141" s="710"/>
      <c r="F141" s="710"/>
      <c r="G141" s="710"/>
      <c r="H141" s="710"/>
      <c r="I141" s="710"/>
      <c r="J141" s="710"/>
      <c r="K141" s="710"/>
      <c r="L141" s="710"/>
      <c r="M141" s="710"/>
      <c r="N141" s="710"/>
      <c r="O141" s="710"/>
      <c r="P141" s="710"/>
      <c r="Q141" s="710"/>
      <c r="R141" s="710"/>
      <c r="S141" s="710"/>
    </row>
    <row r="142" spans="1:19">
      <c r="A142" s="710"/>
      <c r="B142" s="710"/>
      <c r="C142" s="710"/>
      <c r="D142" s="710"/>
      <c r="E142" s="710"/>
      <c r="F142" s="710"/>
      <c r="G142" s="710"/>
      <c r="H142" s="710"/>
      <c r="I142" s="710"/>
      <c r="J142" s="710"/>
      <c r="K142" s="710"/>
      <c r="L142" s="710"/>
      <c r="M142" s="710"/>
      <c r="N142" s="710"/>
      <c r="O142" s="710"/>
      <c r="P142" s="710"/>
      <c r="Q142" s="710"/>
      <c r="R142" s="710"/>
      <c r="S142" s="710"/>
    </row>
    <row r="143" spans="1:19">
      <c r="A143" s="710"/>
      <c r="B143" s="710"/>
      <c r="C143" s="710"/>
      <c r="D143" s="710"/>
      <c r="E143" s="710"/>
      <c r="F143" s="710"/>
      <c r="G143" s="710"/>
      <c r="H143" s="710"/>
      <c r="I143" s="710"/>
      <c r="J143" s="710"/>
      <c r="K143" s="710"/>
      <c r="L143" s="710"/>
      <c r="M143" s="710"/>
      <c r="N143" s="710"/>
      <c r="O143" s="710"/>
      <c r="P143" s="710"/>
      <c r="Q143" s="710"/>
      <c r="R143" s="710"/>
      <c r="S143" s="710"/>
    </row>
    <row r="144" spans="1:19">
      <c r="A144" s="710"/>
      <c r="B144" s="710"/>
      <c r="C144" s="710"/>
      <c r="D144" s="710"/>
      <c r="E144" s="710"/>
      <c r="F144" s="710"/>
      <c r="G144" s="710"/>
      <c r="H144" s="710"/>
      <c r="I144" s="710"/>
      <c r="J144" s="710"/>
      <c r="K144" s="710"/>
      <c r="L144" s="710"/>
      <c r="M144" s="710"/>
      <c r="N144" s="710"/>
      <c r="O144" s="710"/>
      <c r="P144" s="710"/>
      <c r="Q144" s="710"/>
      <c r="R144" s="710"/>
      <c r="S144" s="710"/>
    </row>
    <row r="145" spans="1:19">
      <c r="A145" s="710"/>
      <c r="B145" s="710"/>
      <c r="C145" s="710"/>
      <c r="D145" s="710"/>
      <c r="E145" s="710"/>
      <c r="F145" s="710"/>
      <c r="G145" s="710"/>
      <c r="H145" s="710"/>
      <c r="I145" s="710"/>
      <c r="J145" s="710"/>
      <c r="K145" s="710"/>
      <c r="L145" s="710"/>
      <c r="M145" s="710"/>
      <c r="N145" s="710"/>
      <c r="O145" s="710"/>
      <c r="P145" s="710"/>
      <c r="Q145" s="710"/>
      <c r="R145" s="710"/>
      <c r="S145" s="710"/>
    </row>
    <row r="146" spans="1:19">
      <c r="A146" s="710"/>
      <c r="B146" s="710"/>
      <c r="C146" s="710"/>
      <c r="D146" s="710"/>
      <c r="E146" s="710"/>
      <c r="F146" s="710"/>
      <c r="G146" s="710"/>
      <c r="H146" s="710"/>
      <c r="I146" s="710"/>
      <c r="J146" s="710"/>
      <c r="K146" s="710"/>
      <c r="L146" s="710"/>
      <c r="M146" s="710"/>
      <c r="N146" s="710"/>
      <c r="O146" s="710"/>
      <c r="P146" s="710"/>
      <c r="Q146" s="710"/>
      <c r="R146" s="710"/>
      <c r="S146" s="710"/>
    </row>
    <row r="147" spans="1:19">
      <c r="A147" s="710"/>
      <c r="B147" s="710"/>
      <c r="C147" s="710"/>
      <c r="D147" s="710"/>
      <c r="E147" s="710"/>
      <c r="F147" s="710"/>
      <c r="G147" s="710"/>
      <c r="H147" s="710"/>
      <c r="I147" s="710"/>
      <c r="J147" s="710"/>
      <c r="K147" s="710"/>
      <c r="L147" s="710"/>
      <c r="M147" s="710"/>
      <c r="N147" s="710"/>
      <c r="O147" s="710"/>
      <c r="P147" s="710"/>
      <c r="Q147" s="710"/>
      <c r="R147" s="710"/>
      <c r="S147" s="710"/>
    </row>
    <row r="148" spans="1:19">
      <c r="A148" s="710"/>
      <c r="B148" s="710"/>
      <c r="C148" s="710"/>
      <c r="D148" s="710"/>
      <c r="E148" s="710"/>
      <c r="F148" s="710"/>
      <c r="G148" s="710"/>
      <c r="H148" s="710"/>
      <c r="I148" s="710"/>
      <c r="J148" s="710"/>
      <c r="K148" s="710"/>
      <c r="L148" s="710"/>
      <c r="M148" s="710"/>
      <c r="N148" s="710"/>
      <c r="O148" s="710"/>
      <c r="P148" s="710"/>
      <c r="Q148" s="710"/>
      <c r="R148" s="710"/>
      <c r="S148" s="710"/>
    </row>
    <row r="149" spans="1:19">
      <c r="A149" s="710"/>
      <c r="B149" s="710"/>
      <c r="C149" s="710"/>
      <c r="D149" s="710"/>
      <c r="E149" s="710"/>
      <c r="F149" s="710"/>
      <c r="G149" s="710"/>
      <c r="H149" s="710"/>
      <c r="I149" s="710"/>
      <c r="J149" s="710"/>
      <c r="K149" s="710"/>
      <c r="L149" s="710"/>
      <c r="M149" s="710"/>
      <c r="N149" s="710"/>
      <c r="O149" s="710"/>
      <c r="P149" s="710"/>
      <c r="Q149" s="710"/>
      <c r="R149" s="710"/>
      <c r="S149" s="710"/>
    </row>
    <row r="150" spans="1:19">
      <c r="A150" s="710"/>
      <c r="B150" s="710"/>
      <c r="C150" s="710"/>
      <c r="D150" s="710"/>
      <c r="E150" s="710"/>
      <c r="F150" s="710"/>
      <c r="G150" s="710"/>
      <c r="H150" s="710"/>
      <c r="I150" s="710"/>
      <c r="J150" s="710"/>
      <c r="K150" s="710"/>
      <c r="L150" s="710"/>
      <c r="M150" s="710"/>
      <c r="N150" s="710"/>
      <c r="O150" s="710"/>
      <c r="P150" s="710"/>
      <c r="Q150" s="710"/>
      <c r="R150" s="710"/>
      <c r="S150" s="710"/>
    </row>
    <row r="151" spans="1:19">
      <c r="A151" s="710"/>
      <c r="B151" s="710"/>
      <c r="C151" s="710"/>
      <c r="D151" s="710"/>
      <c r="E151" s="710"/>
      <c r="F151" s="710"/>
      <c r="G151" s="710"/>
      <c r="H151" s="710"/>
      <c r="I151" s="710"/>
      <c r="J151" s="710"/>
      <c r="K151" s="710"/>
      <c r="L151" s="710"/>
      <c r="M151" s="710"/>
      <c r="N151" s="710"/>
      <c r="O151" s="710"/>
      <c r="P151" s="710"/>
      <c r="Q151" s="710"/>
      <c r="R151" s="710"/>
      <c r="S151" s="710"/>
    </row>
    <row r="152" spans="1:19">
      <c r="A152" s="710"/>
      <c r="B152" s="710"/>
      <c r="C152" s="710"/>
      <c r="D152" s="710"/>
      <c r="E152" s="710"/>
      <c r="F152" s="710"/>
      <c r="G152" s="710"/>
      <c r="H152" s="710"/>
      <c r="I152" s="710"/>
      <c r="J152" s="710"/>
      <c r="K152" s="710"/>
      <c r="L152" s="710"/>
      <c r="M152" s="710"/>
      <c r="N152" s="710"/>
      <c r="O152" s="710"/>
      <c r="P152" s="710"/>
      <c r="Q152" s="710"/>
      <c r="R152" s="710"/>
      <c r="S152" s="710"/>
    </row>
    <row r="153" spans="1:19">
      <c r="A153" s="710"/>
      <c r="B153" s="710"/>
      <c r="C153" s="710"/>
      <c r="D153" s="710"/>
      <c r="E153" s="710"/>
      <c r="F153" s="710"/>
      <c r="G153" s="710"/>
      <c r="H153" s="710"/>
      <c r="I153" s="710"/>
      <c r="J153" s="710"/>
      <c r="K153" s="710"/>
      <c r="L153" s="710"/>
      <c r="M153" s="710"/>
      <c r="N153" s="710"/>
      <c r="O153" s="710"/>
      <c r="P153" s="710"/>
      <c r="Q153" s="710"/>
      <c r="R153" s="710"/>
      <c r="S153" s="710"/>
    </row>
    <row r="154" spans="1:19">
      <c r="A154" s="710"/>
      <c r="B154" s="710"/>
      <c r="C154" s="710"/>
      <c r="D154" s="710"/>
      <c r="E154" s="710"/>
      <c r="F154" s="710"/>
      <c r="G154" s="710"/>
      <c r="H154" s="710"/>
      <c r="I154" s="710"/>
      <c r="J154" s="710"/>
      <c r="K154" s="710"/>
      <c r="L154" s="710"/>
      <c r="M154" s="710"/>
      <c r="N154" s="710"/>
      <c r="O154" s="710"/>
      <c r="P154" s="710"/>
      <c r="Q154" s="710"/>
      <c r="R154" s="710"/>
      <c r="S154" s="710"/>
    </row>
    <row r="155" spans="1:19">
      <c r="A155" s="710"/>
      <c r="B155" s="710"/>
      <c r="C155" s="710"/>
      <c r="D155" s="710"/>
      <c r="E155" s="710"/>
      <c r="F155" s="710"/>
      <c r="G155" s="710"/>
      <c r="H155" s="710"/>
      <c r="I155" s="710"/>
      <c r="J155" s="710"/>
      <c r="K155" s="710"/>
      <c r="L155" s="710"/>
      <c r="M155" s="710"/>
      <c r="N155" s="710"/>
      <c r="O155" s="710"/>
      <c r="P155" s="710"/>
      <c r="Q155" s="710"/>
      <c r="R155" s="710"/>
      <c r="S155" s="710"/>
    </row>
    <row r="156" spans="1:19">
      <c r="A156" s="710"/>
      <c r="B156" s="710"/>
      <c r="C156" s="710"/>
      <c r="D156" s="710"/>
      <c r="E156" s="710"/>
      <c r="F156" s="710"/>
      <c r="G156" s="710"/>
      <c r="H156" s="710"/>
      <c r="I156" s="710"/>
      <c r="J156" s="710"/>
      <c r="K156" s="710"/>
      <c r="L156" s="710"/>
      <c r="M156" s="710"/>
      <c r="N156" s="710"/>
      <c r="O156" s="710"/>
      <c r="P156" s="710"/>
      <c r="Q156" s="710"/>
      <c r="R156" s="710"/>
      <c r="S156" s="710"/>
    </row>
    <row r="157" spans="1:19">
      <c r="A157" s="710"/>
      <c r="B157" s="710"/>
      <c r="C157" s="710"/>
      <c r="D157" s="710"/>
      <c r="E157" s="710"/>
      <c r="F157" s="710"/>
      <c r="G157" s="710"/>
      <c r="H157" s="710"/>
      <c r="I157" s="710"/>
      <c r="J157" s="710"/>
      <c r="K157" s="710"/>
      <c r="L157" s="710"/>
      <c r="M157" s="710"/>
      <c r="N157" s="710"/>
      <c r="O157" s="710"/>
      <c r="P157" s="710"/>
      <c r="Q157" s="710"/>
      <c r="R157" s="710"/>
      <c r="S157" s="710"/>
    </row>
    <row r="158" spans="1:19">
      <c r="A158" s="710"/>
      <c r="B158" s="710"/>
      <c r="C158" s="710"/>
      <c r="D158" s="710"/>
      <c r="E158" s="710"/>
      <c r="F158" s="710"/>
      <c r="G158" s="710"/>
      <c r="H158" s="710"/>
      <c r="I158" s="710"/>
      <c r="J158" s="710"/>
      <c r="K158" s="710"/>
      <c r="L158" s="710"/>
      <c r="M158" s="710"/>
      <c r="N158" s="710"/>
      <c r="O158" s="710"/>
      <c r="P158" s="710"/>
      <c r="Q158" s="710"/>
      <c r="R158" s="710"/>
      <c r="S158" s="710"/>
    </row>
    <row r="159" spans="1:19">
      <c r="A159" s="710"/>
      <c r="B159" s="710"/>
      <c r="C159" s="710"/>
      <c r="D159" s="710"/>
      <c r="E159" s="710"/>
      <c r="F159" s="710"/>
      <c r="G159" s="710"/>
      <c r="H159" s="710"/>
      <c r="I159" s="710"/>
      <c r="J159" s="710"/>
      <c r="K159" s="710"/>
      <c r="L159" s="710"/>
      <c r="M159" s="710"/>
      <c r="N159" s="710"/>
      <c r="O159" s="710"/>
      <c r="P159" s="710"/>
      <c r="Q159" s="710"/>
      <c r="R159" s="710"/>
      <c r="S159" s="710"/>
    </row>
    <row r="160" spans="1:19">
      <c r="A160" s="710"/>
      <c r="B160" s="710"/>
      <c r="C160" s="710"/>
      <c r="D160" s="710"/>
      <c r="E160" s="710"/>
      <c r="F160" s="710"/>
      <c r="G160" s="710"/>
      <c r="H160" s="710"/>
      <c r="I160" s="710"/>
      <c r="J160" s="710"/>
      <c r="K160" s="710"/>
      <c r="L160" s="710"/>
      <c r="M160" s="710"/>
      <c r="N160" s="710"/>
      <c r="O160" s="710"/>
      <c r="P160" s="710"/>
      <c r="Q160" s="710"/>
      <c r="R160" s="710"/>
      <c r="S160" s="710"/>
    </row>
    <row r="161" spans="1:19">
      <c r="A161" s="710"/>
      <c r="B161" s="710"/>
      <c r="C161" s="710"/>
      <c r="D161" s="710"/>
      <c r="E161" s="710"/>
      <c r="F161" s="710"/>
      <c r="G161" s="710"/>
      <c r="H161" s="710"/>
      <c r="I161" s="710"/>
      <c r="J161" s="710"/>
      <c r="K161" s="710"/>
      <c r="L161" s="710"/>
      <c r="M161" s="710"/>
      <c r="N161" s="710"/>
      <c r="O161" s="710"/>
      <c r="P161" s="710"/>
      <c r="Q161" s="710"/>
      <c r="R161" s="710"/>
      <c r="S161" s="710"/>
    </row>
    <row r="162" spans="1:19">
      <c r="A162" s="710"/>
      <c r="B162" s="710"/>
      <c r="C162" s="710"/>
      <c r="D162" s="710"/>
      <c r="E162" s="710"/>
      <c r="F162" s="710"/>
      <c r="G162" s="710"/>
      <c r="H162" s="710"/>
      <c r="I162" s="710"/>
      <c r="J162" s="710"/>
      <c r="K162" s="710"/>
      <c r="L162" s="710"/>
      <c r="M162" s="710"/>
      <c r="N162" s="710"/>
      <c r="O162" s="710"/>
      <c r="P162" s="710"/>
      <c r="Q162" s="710"/>
      <c r="R162" s="710"/>
      <c r="S162" s="710"/>
    </row>
    <row r="163" spans="1:19">
      <c r="A163" s="710"/>
      <c r="B163" s="710"/>
      <c r="C163" s="710"/>
      <c r="D163" s="710"/>
      <c r="E163" s="710"/>
      <c r="F163" s="710"/>
      <c r="G163" s="710"/>
      <c r="H163" s="710"/>
      <c r="I163" s="710"/>
      <c r="J163" s="710"/>
      <c r="K163" s="710"/>
      <c r="L163" s="710"/>
      <c r="M163" s="710"/>
      <c r="N163" s="710"/>
      <c r="O163" s="710"/>
      <c r="P163" s="710"/>
      <c r="Q163" s="710"/>
      <c r="R163" s="710"/>
      <c r="S163" s="710"/>
    </row>
    <row r="164" spans="1:19">
      <c r="A164" s="710"/>
      <c r="B164" s="710"/>
      <c r="C164" s="710"/>
      <c r="D164" s="710"/>
      <c r="E164" s="710"/>
      <c r="F164" s="710"/>
      <c r="G164" s="710"/>
      <c r="H164" s="710"/>
      <c r="I164" s="710"/>
      <c r="J164" s="710"/>
      <c r="K164" s="710"/>
      <c r="L164" s="710"/>
      <c r="M164" s="710"/>
      <c r="N164" s="710"/>
      <c r="O164" s="710"/>
      <c r="P164" s="710"/>
      <c r="Q164" s="710"/>
      <c r="R164" s="710"/>
      <c r="S164" s="710"/>
    </row>
    <row r="165" spans="1:19">
      <c r="A165" s="710"/>
      <c r="B165" s="710"/>
      <c r="C165" s="710"/>
      <c r="D165" s="710"/>
      <c r="E165" s="710"/>
      <c r="F165" s="710"/>
      <c r="G165" s="710"/>
      <c r="H165" s="710"/>
      <c r="I165" s="710"/>
      <c r="J165" s="710"/>
      <c r="K165" s="710"/>
      <c r="L165" s="710"/>
      <c r="M165" s="710"/>
      <c r="N165" s="710"/>
      <c r="O165" s="710"/>
      <c r="P165" s="710"/>
      <c r="Q165" s="710"/>
      <c r="R165" s="710"/>
      <c r="S165" s="710"/>
    </row>
    <row r="166" spans="1:19">
      <c r="A166" s="710"/>
      <c r="B166" s="710"/>
      <c r="C166" s="710"/>
      <c r="D166" s="710"/>
      <c r="E166" s="710"/>
      <c r="F166" s="710"/>
      <c r="G166" s="710"/>
      <c r="H166" s="710"/>
      <c r="I166" s="710"/>
      <c r="J166" s="710"/>
      <c r="K166" s="710"/>
      <c r="L166" s="710"/>
      <c r="M166" s="710"/>
      <c r="N166" s="710"/>
      <c r="O166" s="710"/>
      <c r="P166" s="710"/>
      <c r="Q166" s="710"/>
      <c r="R166" s="710"/>
      <c r="S166" s="710"/>
    </row>
    <row r="167" spans="1:19">
      <c r="A167" s="710"/>
      <c r="B167" s="710"/>
      <c r="C167" s="710"/>
      <c r="D167" s="710"/>
      <c r="E167" s="710"/>
      <c r="F167" s="710"/>
      <c r="G167" s="710"/>
      <c r="H167" s="710"/>
      <c r="I167" s="710"/>
      <c r="J167" s="710"/>
      <c r="K167" s="710"/>
      <c r="L167" s="710"/>
      <c r="M167" s="710"/>
      <c r="N167" s="710"/>
      <c r="O167" s="710"/>
      <c r="P167" s="710"/>
      <c r="Q167" s="710"/>
      <c r="R167" s="710"/>
      <c r="S167" s="710"/>
    </row>
    <row r="168" spans="1:19">
      <c r="A168" s="710"/>
      <c r="B168" s="710"/>
      <c r="C168" s="710"/>
      <c r="D168" s="710"/>
      <c r="E168" s="710"/>
      <c r="F168" s="710"/>
      <c r="G168" s="710"/>
      <c r="H168" s="710"/>
      <c r="I168" s="710"/>
      <c r="J168" s="710"/>
      <c r="K168" s="710"/>
      <c r="L168" s="710"/>
      <c r="M168" s="710"/>
      <c r="N168" s="710"/>
      <c r="O168" s="710"/>
      <c r="P168" s="710"/>
      <c r="Q168" s="710"/>
      <c r="R168" s="710"/>
      <c r="S168" s="710"/>
    </row>
    <row r="169" spans="1:19">
      <c r="A169" s="710"/>
      <c r="B169" s="710"/>
      <c r="C169" s="710"/>
      <c r="D169" s="710"/>
      <c r="E169" s="710"/>
      <c r="F169" s="710"/>
      <c r="G169" s="710"/>
      <c r="H169" s="710"/>
      <c r="I169" s="710"/>
      <c r="J169" s="710"/>
      <c r="K169" s="710"/>
      <c r="L169" s="710"/>
      <c r="M169" s="710"/>
      <c r="N169" s="710"/>
      <c r="O169" s="710"/>
      <c r="P169" s="710"/>
      <c r="Q169" s="710"/>
      <c r="R169" s="710"/>
      <c r="S169" s="710"/>
    </row>
    <row r="170" spans="1:19">
      <c r="A170" s="710"/>
      <c r="B170" s="710"/>
      <c r="C170" s="710"/>
      <c r="D170" s="710"/>
      <c r="E170" s="710"/>
      <c r="F170" s="710"/>
      <c r="G170" s="710"/>
      <c r="H170" s="710"/>
      <c r="I170" s="710"/>
      <c r="J170" s="710"/>
      <c r="K170" s="710"/>
      <c r="L170" s="710"/>
      <c r="M170" s="710"/>
      <c r="N170" s="710"/>
      <c r="O170" s="710"/>
      <c r="P170" s="710"/>
      <c r="Q170" s="710"/>
      <c r="R170" s="710"/>
      <c r="S170" s="710"/>
    </row>
    <row r="171" spans="1:19">
      <c r="A171" s="710"/>
      <c r="B171" s="710"/>
      <c r="C171" s="710"/>
      <c r="D171" s="710"/>
      <c r="E171" s="710"/>
      <c r="F171" s="710"/>
      <c r="G171" s="710"/>
      <c r="H171" s="710"/>
      <c r="I171" s="710"/>
      <c r="J171" s="710"/>
      <c r="K171" s="710"/>
      <c r="L171" s="710"/>
      <c r="M171" s="710"/>
      <c r="N171" s="710"/>
      <c r="O171" s="710"/>
      <c r="P171" s="710"/>
      <c r="Q171" s="710"/>
      <c r="R171" s="710"/>
      <c r="S171" s="710"/>
    </row>
    <row r="172" spans="1:19">
      <c r="A172" s="710"/>
      <c r="B172" s="710"/>
      <c r="C172" s="710"/>
      <c r="D172" s="710"/>
      <c r="E172" s="710"/>
      <c r="F172" s="710"/>
      <c r="G172" s="710"/>
      <c r="H172" s="710"/>
      <c r="I172" s="710"/>
      <c r="J172" s="710"/>
      <c r="K172" s="710"/>
      <c r="L172" s="710"/>
      <c r="M172" s="710"/>
      <c r="N172" s="710"/>
      <c r="O172" s="710"/>
      <c r="P172" s="710"/>
      <c r="Q172" s="710"/>
      <c r="R172" s="710"/>
      <c r="S172" s="710"/>
    </row>
    <row r="173" spans="1:19">
      <c r="A173" s="710"/>
      <c r="B173" s="710"/>
      <c r="C173" s="710"/>
      <c r="D173" s="710"/>
      <c r="E173" s="710"/>
      <c r="F173" s="710"/>
      <c r="G173" s="710"/>
      <c r="H173" s="710"/>
      <c r="I173" s="710"/>
      <c r="J173" s="710"/>
      <c r="K173" s="710"/>
      <c r="L173" s="710"/>
      <c r="M173" s="710"/>
      <c r="N173" s="710"/>
      <c r="O173" s="710"/>
      <c r="P173" s="710"/>
      <c r="Q173" s="710"/>
      <c r="R173" s="710"/>
      <c r="S173" s="710"/>
    </row>
    <row r="174" spans="1:19">
      <c r="A174" s="710"/>
      <c r="B174" s="710"/>
      <c r="C174" s="710"/>
      <c r="D174" s="710"/>
      <c r="E174" s="710"/>
      <c r="F174" s="710"/>
      <c r="G174" s="710"/>
      <c r="H174" s="710"/>
      <c r="I174" s="710"/>
      <c r="J174" s="710"/>
      <c r="K174" s="710"/>
      <c r="L174" s="710"/>
      <c r="M174" s="710"/>
      <c r="N174" s="710"/>
      <c r="O174" s="710"/>
      <c r="P174" s="710"/>
      <c r="Q174" s="710"/>
      <c r="R174" s="710"/>
      <c r="S174" s="710"/>
    </row>
    <row r="175" spans="1:19">
      <c r="A175" s="710"/>
      <c r="B175" s="710"/>
      <c r="C175" s="710"/>
      <c r="D175" s="710"/>
      <c r="E175" s="710"/>
      <c r="F175" s="710"/>
      <c r="G175" s="710"/>
      <c r="H175" s="710"/>
      <c r="I175" s="710"/>
      <c r="J175" s="710"/>
      <c r="K175" s="710"/>
      <c r="L175" s="710"/>
      <c r="M175" s="710"/>
      <c r="N175" s="710"/>
      <c r="O175" s="710"/>
      <c r="P175" s="710"/>
      <c r="Q175" s="710"/>
      <c r="R175" s="710"/>
      <c r="S175" s="710"/>
    </row>
    <row r="176" spans="1:19">
      <c r="A176" s="710"/>
      <c r="B176" s="710"/>
      <c r="C176" s="710"/>
      <c r="D176" s="710"/>
      <c r="E176" s="710"/>
      <c r="F176" s="710"/>
      <c r="G176" s="710"/>
      <c r="H176" s="710"/>
      <c r="I176" s="710"/>
      <c r="J176" s="710"/>
      <c r="K176" s="710"/>
      <c r="L176" s="710"/>
      <c r="M176" s="710"/>
      <c r="N176" s="710"/>
      <c r="O176" s="710"/>
      <c r="P176" s="710"/>
      <c r="Q176" s="710"/>
      <c r="R176" s="710"/>
      <c r="S176" s="710"/>
    </row>
    <row r="177" spans="1:19">
      <c r="A177" s="710"/>
      <c r="B177" s="710"/>
      <c r="C177" s="710"/>
      <c r="D177" s="710"/>
      <c r="E177" s="710"/>
      <c r="F177" s="710"/>
      <c r="G177" s="710"/>
      <c r="H177" s="710"/>
      <c r="I177" s="710"/>
      <c r="J177" s="710"/>
      <c r="K177" s="710"/>
      <c r="L177" s="710"/>
      <c r="M177" s="710"/>
      <c r="N177" s="710"/>
      <c r="O177" s="710"/>
      <c r="P177" s="710"/>
      <c r="Q177" s="710"/>
      <c r="R177" s="710"/>
      <c r="S177" s="710"/>
    </row>
    <row r="178" spans="1:19">
      <c r="A178" s="710"/>
      <c r="B178" s="710"/>
      <c r="C178" s="710"/>
      <c r="D178" s="710"/>
      <c r="E178" s="710"/>
      <c r="F178" s="710"/>
      <c r="G178" s="710"/>
      <c r="H178" s="710"/>
      <c r="I178" s="710"/>
      <c r="J178" s="710"/>
      <c r="K178" s="710"/>
      <c r="L178" s="710"/>
      <c r="M178" s="710"/>
      <c r="N178" s="710"/>
      <c r="O178" s="710"/>
      <c r="P178" s="710"/>
      <c r="Q178" s="710"/>
      <c r="R178" s="710"/>
      <c r="S178" s="710"/>
    </row>
    <row r="179" spans="1:19">
      <c r="A179" s="710"/>
      <c r="B179" s="710"/>
      <c r="C179" s="710"/>
      <c r="D179" s="710"/>
      <c r="E179" s="710"/>
      <c r="F179" s="710"/>
      <c r="G179" s="710"/>
      <c r="H179" s="710"/>
      <c r="I179" s="710"/>
      <c r="J179" s="710"/>
      <c r="K179" s="710"/>
      <c r="L179" s="710"/>
      <c r="M179" s="710"/>
      <c r="N179" s="710"/>
      <c r="O179" s="710"/>
      <c r="P179" s="710"/>
      <c r="Q179" s="710"/>
      <c r="R179" s="710"/>
      <c r="S179" s="710"/>
    </row>
    <row r="180" spans="1:19">
      <c r="A180" s="710"/>
      <c r="B180" s="710"/>
      <c r="C180" s="710"/>
      <c r="D180" s="710"/>
      <c r="E180" s="710"/>
      <c r="F180" s="710"/>
      <c r="G180" s="710"/>
      <c r="H180" s="710"/>
      <c r="I180" s="710"/>
      <c r="J180" s="710"/>
      <c r="K180" s="710"/>
      <c r="L180" s="710"/>
      <c r="M180" s="710"/>
      <c r="N180" s="710"/>
      <c r="O180" s="710"/>
      <c r="P180" s="710"/>
      <c r="Q180" s="710"/>
      <c r="R180" s="710"/>
      <c r="S180" s="710"/>
    </row>
    <row r="181" spans="1:19">
      <c r="A181" s="710"/>
      <c r="B181" s="710"/>
      <c r="C181" s="710"/>
      <c r="D181" s="710"/>
      <c r="E181" s="710"/>
      <c r="F181" s="710"/>
      <c r="G181" s="710"/>
      <c r="H181" s="710"/>
      <c r="I181" s="710"/>
      <c r="J181" s="710"/>
      <c r="K181" s="710"/>
      <c r="L181" s="710"/>
      <c r="M181" s="710"/>
      <c r="N181" s="710"/>
      <c r="O181" s="710"/>
      <c r="P181" s="710"/>
      <c r="Q181" s="710"/>
      <c r="R181" s="710"/>
      <c r="S181" s="710"/>
    </row>
    <row r="182" spans="1:19">
      <c r="A182" s="710"/>
      <c r="B182" s="710"/>
      <c r="C182" s="710"/>
      <c r="D182" s="710"/>
      <c r="E182" s="710"/>
      <c r="F182" s="710"/>
      <c r="G182" s="710"/>
      <c r="H182" s="710"/>
      <c r="I182" s="710"/>
      <c r="J182" s="710"/>
      <c r="K182" s="710"/>
      <c r="L182" s="710"/>
      <c r="M182" s="710"/>
      <c r="N182" s="710"/>
      <c r="O182" s="710"/>
      <c r="P182" s="710"/>
      <c r="Q182" s="710"/>
      <c r="R182" s="710"/>
      <c r="S182" s="710"/>
    </row>
    <row r="183" spans="1:19">
      <c r="A183" s="710"/>
      <c r="B183" s="710"/>
      <c r="C183" s="710"/>
      <c r="D183" s="710"/>
      <c r="E183" s="710"/>
      <c r="F183" s="710"/>
      <c r="G183" s="710"/>
      <c r="H183" s="710"/>
      <c r="I183" s="710"/>
      <c r="J183" s="710"/>
      <c r="K183" s="710"/>
      <c r="L183" s="710"/>
      <c r="M183" s="710"/>
      <c r="N183" s="710"/>
      <c r="O183" s="710"/>
      <c r="P183" s="710"/>
      <c r="Q183" s="710"/>
      <c r="R183" s="710"/>
      <c r="S183" s="710"/>
    </row>
    <row r="184" spans="1:19">
      <c r="A184" s="710"/>
      <c r="B184" s="710"/>
      <c r="C184" s="710"/>
      <c r="D184" s="710"/>
      <c r="E184" s="710"/>
      <c r="F184" s="710"/>
      <c r="G184" s="710"/>
      <c r="H184" s="710"/>
      <c r="I184" s="710"/>
      <c r="J184" s="710"/>
      <c r="K184" s="710"/>
      <c r="L184" s="710"/>
      <c r="M184" s="710"/>
      <c r="N184" s="710"/>
      <c r="O184" s="710"/>
      <c r="P184" s="710"/>
      <c r="Q184" s="710"/>
      <c r="R184" s="710"/>
      <c r="S184" s="710"/>
    </row>
    <row r="185" spans="1:19">
      <c r="A185" s="710"/>
      <c r="B185" s="710"/>
      <c r="C185" s="710"/>
      <c r="D185" s="710"/>
      <c r="E185" s="710"/>
      <c r="F185" s="710"/>
      <c r="G185" s="710"/>
      <c r="H185" s="710"/>
      <c r="I185" s="710"/>
      <c r="J185" s="710"/>
      <c r="K185" s="710"/>
      <c r="L185" s="710"/>
      <c r="M185" s="710"/>
      <c r="N185" s="710"/>
      <c r="O185" s="710"/>
      <c r="P185" s="710"/>
      <c r="Q185" s="710"/>
      <c r="R185" s="710"/>
      <c r="S185" s="710"/>
    </row>
    <row r="186" spans="1:19">
      <c r="A186" s="710"/>
      <c r="B186" s="710"/>
      <c r="C186" s="710"/>
      <c r="D186" s="710"/>
      <c r="E186" s="710"/>
      <c r="F186" s="710"/>
      <c r="G186" s="710"/>
      <c r="H186" s="710"/>
      <c r="I186" s="710"/>
      <c r="J186" s="710"/>
      <c r="K186" s="710"/>
      <c r="L186" s="710"/>
      <c r="M186" s="710"/>
      <c r="N186" s="710"/>
      <c r="O186" s="710"/>
      <c r="P186" s="710"/>
      <c r="Q186" s="710"/>
      <c r="R186" s="710"/>
      <c r="S186" s="710"/>
    </row>
    <row r="187" spans="1:19">
      <c r="A187" s="710"/>
      <c r="B187" s="710"/>
      <c r="C187" s="710"/>
      <c r="D187" s="710"/>
      <c r="E187" s="710"/>
      <c r="F187" s="710"/>
      <c r="G187" s="710"/>
      <c r="H187" s="710"/>
      <c r="I187" s="710"/>
      <c r="J187" s="710"/>
      <c r="K187" s="710"/>
      <c r="L187" s="710"/>
      <c r="M187" s="710"/>
      <c r="N187" s="710"/>
      <c r="O187" s="710"/>
      <c r="P187" s="710"/>
      <c r="Q187" s="710"/>
      <c r="R187" s="710"/>
      <c r="S187" s="710"/>
    </row>
    <row r="188" spans="1:19">
      <c r="A188" s="710"/>
      <c r="B188" s="710"/>
      <c r="C188" s="710"/>
      <c r="D188" s="710"/>
      <c r="E188" s="710"/>
      <c r="F188" s="710"/>
      <c r="G188" s="710"/>
      <c r="H188" s="710"/>
      <c r="I188" s="710"/>
      <c r="J188" s="710"/>
      <c r="K188" s="710"/>
      <c r="L188" s="710"/>
      <c r="M188" s="710"/>
      <c r="N188" s="710"/>
      <c r="O188" s="710"/>
      <c r="P188" s="710"/>
      <c r="Q188" s="710"/>
      <c r="R188" s="710"/>
      <c r="S188" s="710"/>
    </row>
    <row r="189" spans="1:19">
      <c r="A189" s="710"/>
      <c r="B189" s="710"/>
      <c r="C189" s="710"/>
      <c r="D189" s="710"/>
      <c r="E189" s="710"/>
      <c r="F189" s="710"/>
      <c r="G189" s="710"/>
      <c r="H189" s="710"/>
      <c r="I189" s="710"/>
      <c r="J189" s="710"/>
      <c r="K189" s="710"/>
      <c r="L189" s="710"/>
      <c r="M189" s="710"/>
      <c r="N189" s="710"/>
      <c r="O189" s="710"/>
      <c r="P189" s="710"/>
      <c r="Q189" s="710"/>
      <c r="R189" s="710"/>
      <c r="S189" s="710"/>
    </row>
    <row r="190" spans="1:19">
      <c r="A190" s="710"/>
      <c r="B190" s="710"/>
      <c r="C190" s="710"/>
      <c r="D190" s="710"/>
      <c r="E190" s="710"/>
      <c r="F190" s="710"/>
      <c r="G190" s="710"/>
      <c r="H190" s="710"/>
      <c r="I190" s="710"/>
      <c r="J190" s="710"/>
      <c r="K190" s="710"/>
      <c r="L190" s="710"/>
      <c r="M190" s="710"/>
      <c r="N190" s="710"/>
      <c r="O190" s="710"/>
      <c r="P190" s="710"/>
      <c r="Q190" s="710"/>
      <c r="R190" s="710"/>
      <c r="S190" s="710"/>
    </row>
    <row r="191" spans="1:19">
      <c r="A191" s="710"/>
      <c r="B191" s="710"/>
      <c r="C191" s="710"/>
      <c r="D191" s="710"/>
      <c r="E191" s="710"/>
      <c r="F191" s="710"/>
      <c r="G191" s="710"/>
      <c r="H191" s="710"/>
      <c r="I191" s="710"/>
      <c r="J191" s="710"/>
      <c r="K191" s="710"/>
      <c r="L191" s="710"/>
      <c r="M191" s="710"/>
      <c r="N191" s="710"/>
      <c r="O191" s="710"/>
      <c r="P191" s="710"/>
      <c r="Q191" s="710"/>
      <c r="R191" s="710"/>
      <c r="S191" s="710"/>
    </row>
    <row r="192" spans="1:19">
      <c r="A192" s="710"/>
      <c r="B192" s="710"/>
      <c r="C192" s="710"/>
      <c r="D192" s="710"/>
      <c r="E192" s="710"/>
      <c r="F192" s="710"/>
      <c r="G192" s="710"/>
      <c r="H192" s="710"/>
      <c r="I192" s="710"/>
      <c r="J192" s="710"/>
      <c r="K192" s="710"/>
      <c r="L192" s="710"/>
      <c r="M192" s="710"/>
      <c r="N192" s="710"/>
      <c r="O192" s="710"/>
      <c r="P192" s="710"/>
      <c r="Q192" s="710"/>
      <c r="R192" s="710"/>
      <c r="S192" s="710"/>
    </row>
    <row r="193" spans="1:19">
      <c r="A193" s="710"/>
      <c r="B193" s="710"/>
      <c r="C193" s="710"/>
      <c r="D193" s="710"/>
      <c r="E193" s="710"/>
      <c r="F193" s="710"/>
      <c r="G193" s="710"/>
      <c r="H193" s="710"/>
      <c r="I193" s="710"/>
      <c r="J193" s="710"/>
      <c r="K193" s="710"/>
      <c r="L193" s="710"/>
      <c r="M193" s="710"/>
      <c r="N193" s="710"/>
      <c r="O193" s="710"/>
      <c r="P193" s="710"/>
      <c r="Q193" s="710"/>
      <c r="R193" s="710"/>
      <c r="S193" s="710"/>
    </row>
    <row r="194" spans="1:19">
      <c r="A194" s="710"/>
      <c r="B194" s="710"/>
      <c r="C194" s="710"/>
      <c r="D194" s="710"/>
      <c r="E194" s="710"/>
      <c r="F194" s="710"/>
      <c r="G194" s="710"/>
      <c r="H194" s="710"/>
      <c r="I194" s="710"/>
      <c r="J194" s="710"/>
      <c r="K194" s="710"/>
      <c r="L194" s="710"/>
      <c r="M194" s="710"/>
      <c r="N194" s="710"/>
      <c r="O194" s="710"/>
      <c r="P194" s="710"/>
      <c r="Q194" s="710"/>
      <c r="R194" s="710"/>
      <c r="S194" s="710"/>
    </row>
    <row r="195" spans="1:19">
      <c r="A195" s="710"/>
      <c r="B195" s="710"/>
      <c r="C195" s="710"/>
      <c r="D195" s="710"/>
      <c r="E195" s="710"/>
      <c r="F195" s="710"/>
      <c r="G195" s="710"/>
      <c r="H195" s="710"/>
      <c r="I195" s="710"/>
      <c r="J195" s="710"/>
      <c r="K195" s="710"/>
      <c r="L195" s="710"/>
      <c r="M195" s="710"/>
      <c r="N195" s="710"/>
      <c r="O195" s="710"/>
      <c r="P195" s="710"/>
      <c r="Q195" s="710"/>
      <c r="R195" s="710"/>
      <c r="S195" s="710"/>
    </row>
    <row r="196" spans="1:19">
      <c r="A196" s="710"/>
      <c r="B196" s="710"/>
      <c r="C196" s="710"/>
      <c r="D196" s="710"/>
      <c r="E196" s="710"/>
      <c r="F196" s="710"/>
      <c r="G196" s="710"/>
      <c r="H196" s="710"/>
      <c r="I196" s="710"/>
      <c r="J196" s="710"/>
      <c r="K196" s="710"/>
      <c r="L196" s="710"/>
      <c r="M196" s="710"/>
      <c r="N196" s="710"/>
      <c r="O196" s="710"/>
      <c r="P196" s="710"/>
      <c r="Q196" s="710"/>
      <c r="R196" s="710"/>
      <c r="S196" s="710"/>
    </row>
    <row r="197" spans="1:19">
      <c r="A197" s="710"/>
      <c r="B197" s="710"/>
      <c r="C197" s="710"/>
      <c r="D197" s="710"/>
      <c r="E197" s="710"/>
      <c r="F197" s="710"/>
      <c r="G197" s="710"/>
      <c r="H197" s="710"/>
      <c r="I197" s="710"/>
      <c r="J197" s="710"/>
      <c r="K197" s="710"/>
      <c r="L197" s="710"/>
      <c r="M197" s="710"/>
      <c r="N197" s="710"/>
      <c r="O197" s="710"/>
      <c r="P197" s="710"/>
      <c r="Q197" s="710"/>
      <c r="R197" s="710"/>
      <c r="S197" s="710"/>
    </row>
    <row r="198" spans="1:19">
      <c r="A198" s="710"/>
      <c r="B198" s="710"/>
      <c r="C198" s="710"/>
      <c r="D198" s="710"/>
      <c r="E198" s="710"/>
      <c r="F198" s="710"/>
      <c r="G198" s="710"/>
      <c r="H198" s="710"/>
      <c r="I198" s="710"/>
      <c r="J198" s="710"/>
      <c r="K198" s="710"/>
      <c r="L198" s="710"/>
      <c r="M198" s="710"/>
      <c r="N198" s="710"/>
      <c r="O198" s="710"/>
      <c r="P198" s="710"/>
      <c r="Q198" s="710"/>
      <c r="R198" s="710"/>
      <c r="S198" s="710"/>
    </row>
    <row r="199" spans="1:19">
      <c r="A199" s="710"/>
      <c r="B199" s="710"/>
      <c r="C199" s="710"/>
      <c r="D199" s="710"/>
      <c r="E199" s="710"/>
      <c r="F199" s="710"/>
      <c r="G199" s="710"/>
      <c r="H199" s="710"/>
      <c r="I199" s="710"/>
      <c r="J199" s="710"/>
      <c r="K199" s="710"/>
      <c r="L199" s="710"/>
      <c r="M199" s="710"/>
      <c r="N199" s="710"/>
      <c r="O199" s="710"/>
      <c r="P199" s="710"/>
      <c r="Q199" s="710"/>
      <c r="R199" s="710"/>
      <c r="S199" s="710"/>
    </row>
    <row r="200" spans="1:19">
      <c r="A200" s="710"/>
      <c r="B200" s="710"/>
      <c r="C200" s="710"/>
      <c r="D200" s="710"/>
      <c r="E200" s="710"/>
      <c r="F200" s="710"/>
      <c r="G200" s="710"/>
      <c r="H200" s="710"/>
      <c r="I200" s="710"/>
      <c r="J200" s="710"/>
      <c r="K200" s="710"/>
      <c r="L200" s="710"/>
      <c r="M200" s="710"/>
      <c r="N200" s="710"/>
      <c r="O200" s="710"/>
      <c r="P200" s="710"/>
      <c r="Q200" s="710"/>
      <c r="R200" s="710"/>
      <c r="S200" s="710"/>
    </row>
    <row r="201" spans="1:19">
      <c r="A201" s="710"/>
      <c r="B201" s="710"/>
      <c r="C201" s="710"/>
      <c r="D201" s="710"/>
      <c r="E201" s="710"/>
      <c r="F201" s="710"/>
      <c r="G201" s="710"/>
      <c r="H201" s="710"/>
      <c r="I201" s="710"/>
      <c r="J201" s="710"/>
      <c r="K201" s="710"/>
      <c r="L201" s="710"/>
      <c r="M201" s="710"/>
      <c r="N201" s="710"/>
      <c r="O201" s="710"/>
      <c r="P201" s="710"/>
      <c r="Q201" s="710"/>
      <c r="R201" s="710"/>
      <c r="S201" s="710"/>
    </row>
    <row r="202" spans="1:19">
      <c r="A202" s="710"/>
      <c r="B202" s="710"/>
      <c r="C202" s="710"/>
      <c r="D202" s="710"/>
      <c r="E202" s="710"/>
      <c r="F202" s="710"/>
      <c r="G202" s="710"/>
      <c r="H202" s="710"/>
      <c r="I202" s="710"/>
      <c r="J202" s="710"/>
      <c r="K202" s="710"/>
      <c r="L202" s="710"/>
      <c r="M202" s="710"/>
      <c r="N202" s="710"/>
      <c r="O202" s="710"/>
      <c r="P202" s="710"/>
      <c r="Q202" s="710"/>
      <c r="R202" s="710"/>
      <c r="S202" s="710"/>
    </row>
    <row r="203" spans="1:19">
      <c r="A203" s="710"/>
      <c r="B203" s="710"/>
      <c r="C203" s="710"/>
      <c r="D203" s="710"/>
      <c r="E203" s="710"/>
      <c r="F203" s="710"/>
      <c r="G203" s="710"/>
      <c r="H203" s="710"/>
      <c r="I203" s="710"/>
      <c r="J203" s="710"/>
      <c r="K203" s="710"/>
      <c r="L203" s="710"/>
      <c r="M203" s="710"/>
      <c r="N203" s="710"/>
      <c r="O203" s="710"/>
      <c r="P203" s="710"/>
      <c r="Q203" s="710"/>
      <c r="R203" s="710"/>
      <c r="S203" s="710"/>
    </row>
    <row r="204" spans="1:19">
      <c r="A204" s="710"/>
      <c r="B204" s="710"/>
      <c r="C204" s="710"/>
      <c r="D204" s="710"/>
      <c r="E204" s="710"/>
      <c r="F204" s="710"/>
      <c r="G204" s="710"/>
      <c r="H204" s="710"/>
      <c r="I204" s="710"/>
      <c r="J204" s="710"/>
      <c r="K204" s="710"/>
      <c r="L204" s="710"/>
      <c r="M204" s="710"/>
      <c r="N204" s="710"/>
      <c r="O204" s="710"/>
      <c r="P204" s="710"/>
      <c r="Q204" s="710"/>
      <c r="R204" s="710"/>
      <c r="S204" s="710"/>
    </row>
    <row r="205" spans="1:19">
      <c r="A205" s="710"/>
      <c r="B205" s="710"/>
      <c r="C205" s="710"/>
      <c r="D205" s="710"/>
      <c r="E205" s="710"/>
      <c r="F205" s="710"/>
      <c r="G205" s="710"/>
      <c r="H205" s="710"/>
      <c r="I205" s="710"/>
      <c r="J205" s="710"/>
      <c r="K205" s="710"/>
      <c r="L205" s="710"/>
      <c r="M205" s="710"/>
      <c r="N205" s="710"/>
      <c r="O205" s="710"/>
      <c r="P205" s="710"/>
      <c r="Q205" s="710"/>
      <c r="R205" s="710"/>
      <c r="S205" s="710"/>
    </row>
    <row r="206" spans="1:19">
      <c r="A206" s="710"/>
      <c r="B206" s="710"/>
      <c r="C206" s="710"/>
      <c r="D206" s="710"/>
      <c r="E206" s="710"/>
      <c r="F206" s="710"/>
      <c r="G206" s="710"/>
      <c r="H206" s="710"/>
      <c r="I206" s="710"/>
      <c r="J206" s="710"/>
      <c r="K206" s="710"/>
      <c r="L206" s="710"/>
      <c r="M206" s="710"/>
      <c r="N206" s="710"/>
      <c r="O206" s="710"/>
      <c r="P206" s="710"/>
      <c r="Q206" s="710"/>
      <c r="R206" s="710"/>
      <c r="S206" s="710"/>
    </row>
    <row r="207" spans="1:19">
      <c r="A207" s="710"/>
      <c r="B207" s="710"/>
      <c r="C207" s="710"/>
      <c r="D207" s="710"/>
      <c r="E207" s="710"/>
      <c r="F207" s="710"/>
      <c r="G207" s="710"/>
      <c r="H207" s="710"/>
      <c r="I207" s="710"/>
      <c r="J207" s="710"/>
      <c r="K207" s="710"/>
      <c r="L207" s="710"/>
      <c r="M207" s="710"/>
      <c r="N207" s="710"/>
      <c r="O207" s="710"/>
      <c r="P207" s="710"/>
      <c r="Q207" s="710"/>
      <c r="R207" s="710"/>
      <c r="S207" s="710"/>
    </row>
    <row r="208" spans="1:19">
      <c r="A208" s="710"/>
      <c r="B208" s="710"/>
      <c r="C208" s="710"/>
      <c r="D208" s="710"/>
      <c r="E208" s="710"/>
      <c r="F208" s="710"/>
      <c r="G208" s="710"/>
      <c r="H208" s="710"/>
      <c r="I208" s="710"/>
      <c r="J208" s="710"/>
      <c r="K208" s="710"/>
      <c r="L208" s="710"/>
      <c r="M208" s="710"/>
      <c r="N208" s="710"/>
      <c r="O208" s="710"/>
      <c r="P208" s="710"/>
      <c r="Q208" s="710"/>
      <c r="R208" s="710"/>
      <c r="S208" s="710"/>
    </row>
    <row r="209" spans="1:19">
      <c r="A209" s="710"/>
      <c r="B209" s="710"/>
      <c r="C209" s="710"/>
      <c r="D209" s="710"/>
      <c r="E209" s="710"/>
      <c r="F209" s="710"/>
      <c r="G209" s="710"/>
      <c r="H209" s="710"/>
      <c r="I209" s="710"/>
      <c r="J209" s="710"/>
      <c r="K209" s="710"/>
      <c r="L209" s="710"/>
      <c r="M209" s="710"/>
      <c r="N209" s="710"/>
      <c r="O209" s="710"/>
      <c r="P209" s="710"/>
      <c r="Q209" s="710"/>
      <c r="R209" s="710"/>
      <c r="S209" s="710"/>
    </row>
    <row r="210" spans="1:19">
      <c r="A210" s="710"/>
      <c r="B210" s="710"/>
      <c r="C210" s="710"/>
      <c r="D210" s="710"/>
      <c r="E210" s="710"/>
      <c r="F210" s="710"/>
      <c r="G210" s="710"/>
      <c r="H210" s="710"/>
      <c r="I210" s="710"/>
      <c r="J210" s="710"/>
      <c r="K210" s="710"/>
      <c r="L210" s="710"/>
      <c r="M210" s="710"/>
      <c r="N210" s="710"/>
      <c r="O210" s="710"/>
      <c r="P210" s="710"/>
      <c r="Q210" s="710"/>
      <c r="R210" s="710"/>
      <c r="S210" s="710"/>
    </row>
    <row r="211" spans="1:19">
      <c r="A211" s="710"/>
      <c r="B211" s="710"/>
      <c r="C211" s="710"/>
      <c r="D211" s="710"/>
      <c r="E211" s="710"/>
      <c r="F211" s="710"/>
      <c r="G211" s="710"/>
      <c r="H211" s="710"/>
      <c r="I211" s="710"/>
      <c r="J211" s="710"/>
      <c r="K211" s="710"/>
      <c r="L211" s="710"/>
      <c r="M211" s="710"/>
      <c r="N211" s="710"/>
      <c r="O211" s="710"/>
      <c r="P211" s="710"/>
      <c r="Q211" s="710"/>
      <c r="R211" s="710"/>
      <c r="S211" s="710"/>
    </row>
    <row r="212" spans="1:19">
      <c r="A212" s="710"/>
      <c r="B212" s="710"/>
      <c r="C212" s="710"/>
      <c r="D212" s="710"/>
      <c r="E212" s="710"/>
      <c r="F212" s="710"/>
      <c r="G212" s="710"/>
      <c r="H212" s="710"/>
      <c r="I212" s="710"/>
      <c r="J212" s="710"/>
      <c r="K212" s="710"/>
      <c r="L212" s="710"/>
      <c r="M212" s="710"/>
      <c r="N212" s="710"/>
      <c r="O212" s="710"/>
      <c r="P212" s="710"/>
      <c r="Q212" s="710"/>
      <c r="R212" s="710"/>
      <c r="S212" s="710"/>
    </row>
    <row r="213" spans="1:19">
      <c r="A213" s="710"/>
      <c r="B213" s="710"/>
      <c r="C213" s="710"/>
      <c r="D213" s="710"/>
      <c r="E213" s="710"/>
      <c r="F213" s="710"/>
      <c r="G213" s="710"/>
      <c r="H213" s="710"/>
      <c r="I213" s="710"/>
      <c r="J213" s="710"/>
      <c r="K213" s="710"/>
      <c r="L213" s="710"/>
      <c r="M213" s="710"/>
      <c r="N213" s="710"/>
      <c r="O213" s="710"/>
      <c r="P213" s="710"/>
      <c r="Q213" s="710"/>
      <c r="R213" s="710"/>
      <c r="S213" s="710"/>
    </row>
    <row r="214" spans="1:19">
      <c r="A214" s="710"/>
      <c r="B214" s="710"/>
      <c r="C214" s="710"/>
      <c r="D214" s="710"/>
      <c r="E214" s="710"/>
      <c r="F214" s="710"/>
      <c r="G214" s="710"/>
      <c r="H214" s="710"/>
      <c r="I214" s="710"/>
      <c r="J214" s="710"/>
      <c r="K214" s="710"/>
      <c r="L214" s="710"/>
      <c r="M214" s="710"/>
      <c r="N214" s="710"/>
      <c r="O214" s="710"/>
      <c r="P214" s="710"/>
      <c r="Q214" s="710"/>
      <c r="R214" s="710"/>
      <c r="S214" s="710"/>
    </row>
    <row r="215" spans="1:19">
      <c r="A215" s="710"/>
      <c r="B215" s="710"/>
      <c r="C215" s="710"/>
      <c r="D215" s="710"/>
      <c r="E215" s="710"/>
      <c r="F215" s="710"/>
      <c r="G215" s="710"/>
      <c r="H215" s="710"/>
      <c r="I215" s="710"/>
      <c r="J215" s="710"/>
      <c r="K215" s="710"/>
      <c r="Q215" s="710"/>
      <c r="R215" s="710"/>
      <c r="S215" s="710"/>
    </row>
  </sheetData>
  <mergeCells count="31">
    <mergeCell ref="L83:P84"/>
    <mergeCell ref="L89:P97"/>
    <mergeCell ref="A1:J1"/>
    <mergeCell ref="A3:J3"/>
    <mergeCell ref="A5:J5"/>
    <mergeCell ref="A6:J13"/>
    <mergeCell ref="A14:J14"/>
    <mergeCell ref="A109:J112"/>
    <mergeCell ref="B91:J100"/>
    <mergeCell ref="B84:J90"/>
    <mergeCell ref="B79:J81"/>
    <mergeCell ref="B101:J101"/>
    <mergeCell ref="B102:J105"/>
    <mergeCell ref="A106:J106"/>
    <mergeCell ref="A107:J108"/>
    <mergeCell ref="A125:D125"/>
    <mergeCell ref="A54:J55"/>
    <mergeCell ref="A57:J58"/>
    <mergeCell ref="A60:J64"/>
    <mergeCell ref="A51:J52"/>
    <mergeCell ref="A66:J67"/>
    <mergeCell ref="A117:J118"/>
    <mergeCell ref="A121:J121"/>
    <mergeCell ref="A122:J122"/>
    <mergeCell ref="A123:J123"/>
    <mergeCell ref="A124:J124"/>
    <mergeCell ref="A74:J78"/>
    <mergeCell ref="B82:J83"/>
    <mergeCell ref="A113:J114"/>
    <mergeCell ref="A69:J70"/>
    <mergeCell ref="A120:J120"/>
  </mergeCells>
  <hyperlinks>
    <hyperlink ref="E125" r:id="rId1"/>
    <hyperlink ref="A14" r:id="rId2"/>
  </hyperlinks>
  <pageMargins left="0.7" right="0.7" top="0.75" bottom="0.75" header="0.3" footer="0.3"/>
  <pageSetup orientation="portrait" horizontalDpi="4294967293" verticalDpi="0" r:id="rId3"/>
  <legacyDrawing r:id="rId4"/>
</worksheet>
</file>

<file path=xl/worksheets/sheet2.xml><?xml version="1.0" encoding="utf-8"?>
<worksheet xmlns="http://schemas.openxmlformats.org/spreadsheetml/2006/main" xmlns:r="http://schemas.openxmlformats.org/officeDocument/2006/relationships">
  <sheetPr codeName="Sheet1">
    <pageSetUpPr fitToPage="1"/>
  </sheetPr>
  <dimension ref="A1:U201"/>
  <sheetViews>
    <sheetView zoomScaleNormal="100" workbookViewId="0">
      <selection activeCell="C33" sqref="C33"/>
    </sheetView>
  </sheetViews>
  <sheetFormatPr defaultRowHeight="15"/>
  <cols>
    <col min="1" max="1" width="7.7109375" style="11" customWidth="1"/>
    <col min="2" max="2" width="10.28515625" customWidth="1"/>
    <col min="3" max="3" width="15.5703125" bestFit="1" customWidth="1"/>
    <col min="9" max="9" width="10.28515625" customWidth="1"/>
  </cols>
  <sheetData>
    <row r="1" spans="1:21" s="2" customFormat="1" ht="30.75" thickBot="1">
      <c r="A1" s="862" t="s">
        <v>1290</v>
      </c>
      <c r="B1" s="862"/>
      <c r="C1" s="862"/>
      <c r="D1" s="862"/>
      <c r="E1" s="862"/>
      <c r="F1" s="862"/>
      <c r="G1" s="862"/>
      <c r="H1" s="862"/>
      <c r="I1" s="862"/>
      <c r="J1" s="862"/>
      <c r="K1" s="657"/>
      <c r="L1" s="657"/>
      <c r="M1" s="657"/>
      <c r="N1" s="657"/>
      <c r="O1" s="657"/>
      <c r="P1" s="657"/>
      <c r="Q1" s="657"/>
      <c r="R1" s="657"/>
      <c r="S1" s="657"/>
      <c r="T1" s="657"/>
      <c r="U1" s="657"/>
    </row>
    <row r="2" spans="1:21" s="2" customFormat="1" ht="11.25" customHeight="1">
      <c r="A2" s="745"/>
      <c r="B2" s="657"/>
      <c r="C2" s="657"/>
      <c r="D2" s="657"/>
      <c r="E2" s="657"/>
      <c r="F2" s="657"/>
      <c r="G2" s="657"/>
      <c r="H2" s="657"/>
      <c r="I2" s="657"/>
      <c r="J2" s="657"/>
      <c r="K2" s="657"/>
      <c r="L2" s="657"/>
      <c r="M2" s="657"/>
      <c r="N2" s="657"/>
      <c r="O2" s="657"/>
      <c r="P2" s="657"/>
      <c r="Q2" s="657"/>
      <c r="R2" s="657"/>
      <c r="S2" s="657"/>
      <c r="T2" s="657"/>
      <c r="U2" s="657"/>
    </row>
    <row r="3" spans="1:21" s="2" customFormat="1" ht="23.25">
      <c r="A3" s="863" t="s">
        <v>782</v>
      </c>
      <c r="B3" s="864"/>
      <c r="C3" s="864"/>
      <c r="D3" s="864"/>
      <c r="E3" s="864"/>
      <c r="F3" s="864"/>
      <c r="G3" s="864"/>
      <c r="H3" s="864"/>
      <c r="I3" s="864"/>
      <c r="J3" s="864"/>
      <c r="K3" s="657"/>
      <c r="L3" s="657"/>
      <c r="M3" s="657"/>
      <c r="N3" s="657"/>
      <c r="O3" s="657"/>
      <c r="P3" s="657"/>
      <c r="Q3" s="657"/>
      <c r="R3" s="657"/>
      <c r="S3" s="657"/>
      <c r="T3" s="657"/>
      <c r="U3" s="657"/>
    </row>
    <row r="4" spans="1:21" ht="12.75">
      <c r="A4" s="720"/>
      <c r="B4" s="710"/>
      <c r="C4" s="710"/>
      <c r="D4" s="710"/>
      <c r="E4" s="710"/>
      <c r="F4" s="710"/>
      <c r="G4" s="710"/>
      <c r="H4" s="710"/>
      <c r="I4" s="710"/>
      <c r="J4" s="710"/>
      <c r="K4" s="710"/>
      <c r="L4" s="710"/>
      <c r="M4" s="710"/>
      <c r="N4" s="710"/>
      <c r="O4" s="710"/>
      <c r="P4" s="710"/>
      <c r="Q4" s="710"/>
      <c r="R4" s="710"/>
      <c r="S4" s="710"/>
      <c r="T4" s="710"/>
      <c r="U4" s="710"/>
    </row>
    <row r="5" spans="1:21" ht="12.75">
      <c r="A5" s="720"/>
      <c r="B5" s="710"/>
      <c r="C5" s="710"/>
      <c r="D5" s="710"/>
      <c r="E5" s="710"/>
      <c r="F5" s="710"/>
      <c r="G5" s="710"/>
      <c r="H5" s="710"/>
      <c r="I5" s="710"/>
      <c r="J5" s="710"/>
      <c r="K5" s="710"/>
      <c r="L5" s="710"/>
      <c r="M5" s="710"/>
      <c r="N5" s="710"/>
      <c r="O5" s="710"/>
      <c r="P5" s="710"/>
      <c r="Q5" s="710"/>
      <c r="R5" s="710"/>
      <c r="S5" s="710"/>
      <c r="T5" s="710"/>
      <c r="U5" s="710"/>
    </row>
    <row r="6" spans="1:21">
      <c r="A6" s="746"/>
      <c r="B6" s="710"/>
      <c r="C6" s="710"/>
      <c r="D6" s="710"/>
      <c r="E6" s="710"/>
      <c r="F6" s="710"/>
      <c r="G6" s="710"/>
      <c r="H6" s="710"/>
      <c r="I6" s="710"/>
      <c r="J6" s="710"/>
      <c r="K6" s="710"/>
      <c r="L6" s="710"/>
      <c r="M6" s="710"/>
      <c r="N6" s="710"/>
      <c r="O6" s="710"/>
      <c r="P6" s="710"/>
      <c r="Q6" s="710"/>
      <c r="R6" s="710"/>
      <c r="S6" s="710"/>
      <c r="T6" s="710"/>
      <c r="U6" s="710"/>
    </row>
    <row r="7" spans="1:21" ht="15" customHeight="1">
      <c r="A7" s="746"/>
      <c r="B7" s="710"/>
      <c r="C7" s="710"/>
      <c r="D7" s="710"/>
      <c r="E7" s="710"/>
      <c r="F7" s="710"/>
      <c r="G7" s="710"/>
      <c r="H7" s="710"/>
      <c r="I7" s="710"/>
      <c r="J7" s="710"/>
      <c r="K7" s="747" t="s">
        <v>983</v>
      </c>
      <c r="L7" s="723"/>
      <c r="M7" s="723"/>
      <c r="N7" s="723"/>
      <c r="O7" s="710"/>
      <c r="P7" s="710"/>
      <c r="Q7" s="710"/>
      <c r="R7" s="710"/>
      <c r="S7" s="710"/>
      <c r="T7" s="710"/>
      <c r="U7" s="710"/>
    </row>
    <row r="8" spans="1:21">
      <c r="A8" s="746"/>
      <c r="B8" s="710"/>
      <c r="C8" s="710"/>
      <c r="D8" s="710"/>
      <c r="E8" s="710"/>
      <c r="F8" s="710"/>
      <c r="G8" s="710"/>
      <c r="H8" s="710"/>
      <c r="I8" s="710"/>
      <c r="J8" s="710"/>
      <c r="K8" s="723"/>
      <c r="L8" s="723"/>
      <c r="M8" s="723"/>
      <c r="N8" s="723"/>
      <c r="O8" s="710"/>
      <c r="P8" s="710"/>
      <c r="Q8" s="710"/>
      <c r="R8" s="710"/>
      <c r="S8" s="710"/>
      <c r="T8" s="710"/>
      <c r="U8" s="710"/>
    </row>
    <row r="9" spans="1:21">
      <c r="A9" s="746"/>
      <c r="B9" s="710"/>
      <c r="C9" s="710"/>
      <c r="D9" s="710"/>
      <c r="E9" s="710"/>
      <c r="F9" s="710"/>
      <c r="G9" s="710"/>
      <c r="H9" s="710"/>
      <c r="I9" s="710"/>
      <c r="J9" s="710"/>
      <c r="K9" s="710"/>
      <c r="L9" s="710"/>
      <c r="M9" s="710"/>
      <c r="N9" s="710"/>
      <c r="O9" s="710"/>
      <c r="P9" s="710"/>
      <c r="Q9" s="710"/>
      <c r="R9" s="710"/>
      <c r="S9" s="710"/>
      <c r="T9" s="710"/>
      <c r="U9" s="710"/>
    </row>
    <row r="10" spans="1:21">
      <c r="A10" s="746"/>
      <c r="B10" s="710"/>
      <c r="C10" s="710"/>
      <c r="D10" s="710"/>
      <c r="E10" s="710"/>
      <c r="F10" s="710"/>
      <c r="G10" s="710"/>
      <c r="H10" s="710"/>
      <c r="I10" s="710"/>
      <c r="J10" s="710"/>
      <c r="K10" s="710"/>
      <c r="L10" s="710"/>
      <c r="M10" s="710"/>
      <c r="N10" s="710"/>
      <c r="O10" s="710"/>
      <c r="P10" s="710"/>
      <c r="Q10" s="710"/>
      <c r="R10" s="710"/>
      <c r="S10" s="710"/>
      <c r="T10" s="710"/>
      <c r="U10" s="710"/>
    </row>
    <row r="11" spans="1:21">
      <c r="A11" s="746"/>
      <c r="B11" s="710"/>
      <c r="C11" s="710"/>
      <c r="D11" s="710"/>
      <c r="E11" s="710"/>
      <c r="F11" s="710"/>
      <c r="G11" s="710"/>
      <c r="H11" s="710"/>
      <c r="I11" s="710"/>
      <c r="J11" s="710"/>
      <c r="K11" s="710"/>
      <c r="L11" s="710"/>
      <c r="M11" s="710"/>
      <c r="N11" s="710"/>
      <c r="O11" s="710"/>
      <c r="P11" s="710"/>
      <c r="Q11" s="710"/>
      <c r="R11" s="710"/>
      <c r="S11" s="710"/>
      <c r="T11" s="710"/>
      <c r="U11" s="710"/>
    </row>
    <row r="12" spans="1:21">
      <c r="A12" s="746"/>
      <c r="B12" s="710"/>
      <c r="C12" s="710"/>
      <c r="D12" s="710"/>
      <c r="E12" s="710"/>
      <c r="F12" s="710"/>
      <c r="G12" s="710"/>
      <c r="H12" s="710"/>
      <c r="I12" s="710"/>
      <c r="J12" s="710"/>
      <c r="K12" s="710"/>
      <c r="L12" s="710"/>
      <c r="M12" s="710"/>
      <c r="N12" s="710"/>
      <c r="O12" s="710"/>
      <c r="P12" s="710"/>
      <c r="Q12" s="710"/>
      <c r="R12" s="710"/>
      <c r="S12" s="710"/>
      <c r="T12" s="710"/>
      <c r="U12" s="710"/>
    </row>
    <row r="13" spans="1:21">
      <c r="A13" s="746"/>
      <c r="B13" s="710"/>
      <c r="C13" s="710"/>
      <c r="D13" s="710"/>
      <c r="E13" s="710"/>
      <c r="F13" s="710"/>
      <c r="G13" s="710"/>
      <c r="H13" s="710"/>
      <c r="I13" s="710"/>
      <c r="J13" s="710"/>
      <c r="K13" s="710"/>
      <c r="L13" s="710"/>
      <c r="M13" s="710"/>
      <c r="N13" s="710"/>
      <c r="O13" s="710"/>
      <c r="P13" s="710"/>
      <c r="Q13" s="710"/>
      <c r="R13" s="710"/>
      <c r="S13" s="710"/>
      <c r="T13" s="710"/>
      <c r="U13" s="710"/>
    </row>
    <row r="14" spans="1:21">
      <c r="A14" s="746"/>
      <c r="B14" s="710"/>
      <c r="C14" s="710"/>
      <c r="D14" s="710"/>
      <c r="E14" s="710"/>
      <c r="F14" s="710"/>
      <c r="G14" s="710"/>
      <c r="H14" s="710"/>
      <c r="I14" s="710"/>
      <c r="J14" s="710"/>
      <c r="K14" s="710"/>
      <c r="L14" s="710"/>
      <c r="M14" s="710"/>
      <c r="N14" s="710"/>
      <c r="O14" s="710"/>
      <c r="P14" s="710"/>
      <c r="Q14" s="710"/>
      <c r="R14" s="710"/>
      <c r="S14" s="710"/>
      <c r="T14" s="710"/>
      <c r="U14" s="710"/>
    </row>
    <row r="15" spans="1:21">
      <c r="A15" s="746"/>
      <c r="B15" s="710"/>
      <c r="C15" s="710"/>
      <c r="D15" s="710"/>
      <c r="E15" s="710"/>
      <c r="F15" s="710"/>
      <c r="G15" s="710"/>
      <c r="H15" s="710"/>
      <c r="I15" s="710"/>
      <c r="J15" s="710"/>
      <c r="K15" s="710"/>
      <c r="L15" s="710"/>
      <c r="M15" s="710"/>
      <c r="N15" s="710"/>
      <c r="O15" s="710"/>
      <c r="P15" s="710"/>
      <c r="Q15" s="710"/>
      <c r="R15" s="710"/>
      <c r="S15" s="710"/>
      <c r="T15" s="710"/>
      <c r="U15" s="710"/>
    </row>
    <row r="16" spans="1:21">
      <c r="A16" s="746"/>
      <c r="B16" s="710"/>
      <c r="C16" s="710"/>
      <c r="D16" s="710"/>
      <c r="E16" s="710"/>
      <c r="F16" s="710"/>
      <c r="G16" s="710"/>
      <c r="H16" s="710"/>
      <c r="I16" s="710"/>
      <c r="J16" s="710"/>
      <c r="K16" s="710"/>
      <c r="L16" s="710"/>
      <c r="M16" s="710"/>
      <c r="N16" s="710"/>
      <c r="O16" s="710"/>
      <c r="P16" s="710"/>
      <c r="Q16" s="710"/>
      <c r="R16" s="710"/>
      <c r="S16" s="710"/>
      <c r="T16" s="710"/>
      <c r="U16" s="710"/>
    </row>
    <row r="17" spans="1:21" s="2" customFormat="1" ht="15.6" customHeight="1">
      <c r="A17" s="865" t="s">
        <v>14</v>
      </c>
      <c r="B17" s="866"/>
      <c r="C17" s="866"/>
      <c r="D17" s="866"/>
      <c r="E17" s="866"/>
      <c r="F17" s="866"/>
      <c r="G17" s="866"/>
      <c r="H17" s="866"/>
      <c r="I17" s="866"/>
      <c r="J17" s="866"/>
      <c r="K17" s="657"/>
      <c r="L17" s="657"/>
      <c r="M17" s="657"/>
      <c r="N17" s="657"/>
      <c r="O17" s="657"/>
      <c r="P17" s="657"/>
      <c r="Q17" s="657"/>
      <c r="R17" s="657"/>
      <c r="S17" s="657"/>
      <c r="T17" s="657"/>
      <c r="U17" s="657"/>
    </row>
    <row r="18" spans="1:21" s="2" customFormat="1" ht="15.75">
      <c r="A18" s="748"/>
      <c r="B18" s="697"/>
      <c r="C18" s="723"/>
      <c r="D18" s="723"/>
      <c r="E18" s="723"/>
      <c r="F18" s="723"/>
      <c r="G18" s="723"/>
      <c r="H18" s="749" t="s">
        <v>783</v>
      </c>
      <c r="I18" s="657"/>
      <c r="J18" s="723"/>
      <c r="K18" s="657"/>
      <c r="L18" s="657"/>
      <c r="M18" s="657"/>
      <c r="N18" s="657"/>
      <c r="O18" s="657"/>
      <c r="P18" s="657"/>
      <c r="Q18" s="657"/>
      <c r="R18" s="657"/>
      <c r="S18" s="657"/>
      <c r="T18" s="657"/>
      <c r="U18" s="657"/>
    </row>
    <row r="19" spans="1:21" ht="15.75">
      <c r="A19" s="710"/>
      <c r="B19" s="710"/>
      <c r="C19" s="859" t="s">
        <v>879</v>
      </c>
      <c r="D19" s="827"/>
      <c r="E19" s="827"/>
      <c r="F19" s="827"/>
      <c r="G19" s="827"/>
      <c r="H19" s="750">
        <v>2</v>
      </c>
      <c r="I19" s="710"/>
      <c r="J19" s="710"/>
      <c r="K19" s="861" t="s">
        <v>982</v>
      </c>
      <c r="L19" s="861"/>
      <c r="M19" s="861"/>
      <c r="N19" s="861"/>
      <c r="O19" s="710"/>
      <c r="P19" s="710"/>
      <c r="Q19" s="710"/>
      <c r="R19" s="710"/>
      <c r="S19" s="710"/>
      <c r="T19" s="710"/>
      <c r="U19" s="710"/>
    </row>
    <row r="20" spans="1:21" ht="15.75">
      <c r="A20" s="710"/>
      <c r="B20" s="710"/>
      <c r="C20" s="859" t="s">
        <v>797</v>
      </c>
      <c r="D20" s="827"/>
      <c r="E20" s="827"/>
      <c r="F20" s="827"/>
      <c r="G20" s="827"/>
      <c r="H20" s="750">
        <v>3</v>
      </c>
      <c r="I20" s="710"/>
      <c r="J20" s="710"/>
      <c r="K20" s="861"/>
      <c r="L20" s="861"/>
      <c r="M20" s="861"/>
      <c r="N20" s="861"/>
      <c r="O20" s="710"/>
      <c r="P20" s="710"/>
      <c r="Q20" s="710"/>
      <c r="R20" s="710"/>
      <c r="S20" s="710"/>
      <c r="T20" s="710"/>
      <c r="U20" s="710"/>
    </row>
    <row r="21" spans="1:21" ht="15.75">
      <c r="A21" s="710"/>
      <c r="B21" s="710"/>
      <c r="C21" s="859" t="s">
        <v>786</v>
      </c>
      <c r="D21" s="827"/>
      <c r="E21" s="827"/>
      <c r="F21" s="827"/>
      <c r="G21" s="827"/>
      <c r="H21" s="750">
        <v>4</v>
      </c>
      <c r="I21" s="710"/>
      <c r="J21" s="710"/>
      <c r="K21" s="710"/>
      <c r="L21" s="710"/>
      <c r="M21" s="710"/>
      <c r="N21" s="710"/>
      <c r="O21" s="710"/>
      <c r="P21" s="710"/>
      <c r="Q21" s="710"/>
      <c r="R21" s="710"/>
      <c r="S21" s="710"/>
      <c r="T21" s="710"/>
      <c r="U21" s="710"/>
    </row>
    <row r="22" spans="1:21" ht="15.75">
      <c r="A22" s="710"/>
      <c r="B22" s="710"/>
      <c r="C22" s="859" t="s">
        <v>787</v>
      </c>
      <c r="D22" s="827"/>
      <c r="E22" s="827"/>
      <c r="F22" s="827"/>
      <c r="G22" s="827"/>
      <c r="H22" s="750">
        <v>5</v>
      </c>
      <c r="I22" s="710"/>
      <c r="J22" s="710"/>
      <c r="K22" s="710"/>
      <c r="L22" s="710"/>
      <c r="M22" s="710"/>
      <c r="N22" s="710"/>
      <c r="O22" s="710"/>
      <c r="P22" s="710"/>
      <c r="Q22" s="710"/>
      <c r="R22" s="710"/>
      <c r="S22" s="710"/>
      <c r="T22" s="710"/>
      <c r="U22" s="710"/>
    </row>
    <row r="23" spans="1:21" ht="15.75">
      <c r="A23" s="710"/>
      <c r="B23" s="710"/>
      <c r="C23" s="859" t="s">
        <v>784</v>
      </c>
      <c r="D23" s="827"/>
      <c r="E23" s="827"/>
      <c r="F23" s="827"/>
      <c r="G23" s="827"/>
      <c r="H23" s="750">
        <v>6</v>
      </c>
      <c r="I23" s="710"/>
      <c r="J23" s="710"/>
      <c r="K23" s="710"/>
      <c r="L23" s="710"/>
      <c r="M23" s="710"/>
      <c r="N23" s="710"/>
      <c r="O23" s="710"/>
      <c r="P23" s="710"/>
      <c r="Q23" s="710"/>
      <c r="R23" s="710"/>
      <c r="S23" s="710"/>
      <c r="T23" s="710"/>
      <c r="U23" s="710"/>
    </row>
    <row r="24" spans="1:21" ht="15.75">
      <c r="A24" s="710"/>
      <c r="B24" s="710"/>
      <c r="C24" s="859" t="s">
        <v>949</v>
      </c>
      <c r="D24" s="827"/>
      <c r="E24" s="827"/>
      <c r="F24" s="827"/>
      <c r="G24" s="827"/>
      <c r="H24" s="750" t="s">
        <v>1287</v>
      </c>
      <c r="I24" s="710"/>
      <c r="J24" s="710"/>
      <c r="K24" s="710"/>
      <c r="L24" s="710"/>
      <c r="M24" s="710"/>
      <c r="N24" s="710"/>
      <c r="O24" s="710"/>
      <c r="P24" s="710"/>
      <c r="Q24" s="710"/>
      <c r="R24" s="710"/>
      <c r="S24" s="710"/>
      <c r="T24" s="710"/>
      <c r="U24" s="710"/>
    </row>
    <row r="25" spans="1:21" ht="15.75">
      <c r="A25" s="710"/>
      <c r="B25" s="710"/>
      <c r="C25" s="859" t="s">
        <v>629</v>
      </c>
      <c r="D25" s="853"/>
      <c r="E25" s="853"/>
      <c r="F25" s="853"/>
      <c r="G25" s="853"/>
      <c r="H25" s="750" t="s">
        <v>1288</v>
      </c>
      <c r="I25" s="710"/>
      <c r="J25" s="710"/>
      <c r="K25" s="710"/>
      <c r="L25" s="710"/>
      <c r="M25" s="710"/>
      <c r="N25" s="710"/>
      <c r="O25" s="710"/>
      <c r="P25" s="710"/>
      <c r="Q25" s="710"/>
      <c r="R25" s="710"/>
      <c r="S25" s="710"/>
      <c r="T25" s="710"/>
      <c r="U25" s="710"/>
    </row>
    <row r="26" spans="1:21">
      <c r="A26" s="751"/>
      <c r="B26" s="752"/>
      <c r="C26" s="751"/>
      <c r="D26" s="751"/>
      <c r="E26" s="751"/>
      <c r="F26" s="751"/>
      <c r="G26" s="751"/>
      <c r="H26" s="751"/>
      <c r="I26" s="753"/>
      <c r="J26" s="751"/>
      <c r="K26" s="710"/>
      <c r="L26" s="710"/>
      <c r="M26" s="710"/>
      <c r="N26" s="710"/>
      <c r="O26" s="710"/>
      <c r="P26" s="710"/>
      <c r="Q26" s="710"/>
      <c r="R26" s="710"/>
      <c r="S26" s="710"/>
      <c r="T26" s="710"/>
      <c r="U26" s="710"/>
    </row>
    <row r="27" spans="1:21">
      <c r="A27" s="751"/>
      <c r="B27" s="710"/>
      <c r="C27" s="710"/>
      <c r="D27" s="710"/>
      <c r="E27" s="710"/>
      <c r="F27" s="710"/>
      <c r="G27" s="751"/>
      <c r="H27" s="751"/>
      <c r="I27" s="753"/>
      <c r="J27" s="751"/>
      <c r="K27" s="710"/>
      <c r="L27" s="710"/>
      <c r="M27" s="710"/>
      <c r="N27" s="710"/>
      <c r="O27" s="710"/>
      <c r="P27" s="710"/>
      <c r="Q27" s="710"/>
      <c r="R27" s="710"/>
      <c r="S27" s="710"/>
      <c r="T27" s="710"/>
      <c r="U27" s="710"/>
    </row>
    <row r="28" spans="1:21" ht="15.75">
      <c r="A28" s="751"/>
      <c r="B28" s="751"/>
      <c r="C28" s="754" t="s">
        <v>793</v>
      </c>
      <c r="D28" s="850">
        <v>41674</v>
      </c>
      <c r="E28" s="851"/>
      <c r="F28" s="851"/>
      <c r="G28" s="751"/>
      <c r="H28" s="751"/>
      <c r="I28" s="753"/>
      <c r="J28" s="751"/>
      <c r="K28" s="710"/>
      <c r="L28" s="710"/>
      <c r="M28" s="710"/>
      <c r="N28" s="710"/>
      <c r="O28" s="710"/>
      <c r="P28" s="710"/>
      <c r="Q28" s="710"/>
      <c r="R28" s="710"/>
      <c r="S28" s="710"/>
      <c r="T28" s="710"/>
      <c r="U28" s="710"/>
    </row>
    <row r="29" spans="1:21">
      <c r="A29" s="751"/>
      <c r="B29" s="751"/>
      <c r="C29" s="751"/>
      <c r="D29" s="751"/>
      <c r="E29" s="751"/>
      <c r="F29" s="751"/>
      <c r="G29" s="751"/>
      <c r="H29" s="751"/>
      <c r="I29" s="753"/>
      <c r="J29" s="751"/>
      <c r="K29" s="710"/>
      <c r="L29" s="710"/>
      <c r="M29" s="710"/>
      <c r="N29" s="710"/>
      <c r="O29" s="710"/>
      <c r="P29" s="710"/>
      <c r="Q29" s="710"/>
      <c r="R29" s="710"/>
      <c r="S29" s="710"/>
      <c r="T29" s="710"/>
      <c r="U29" s="710"/>
    </row>
    <row r="30" spans="1:21" ht="15.75">
      <c r="A30" s="751"/>
      <c r="B30" s="854" t="s">
        <v>781</v>
      </c>
      <c r="C30" s="855"/>
      <c r="D30" s="755"/>
      <c r="E30" s="755"/>
      <c r="F30" s="856" t="s">
        <v>20</v>
      </c>
      <c r="G30" s="855"/>
      <c r="H30" s="751"/>
      <c r="I30" s="753"/>
      <c r="J30" s="751"/>
      <c r="K30" s="710"/>
      <c r="L30" s="710"/>
      <c r="M30" s="710"/>
      <c r="N30" s="710"/>
      <c r="O30" s="710"/>
      <c r="P30" s="710"/>
      <c r="Q30" s="710"/>
      <c r="R30" s="710"/>
      <c r="S30" s="710"/>
      <c r="T30" s="710"/>
      <c r="U30" s="710"/>
    </row>
    <row r="31" spans="1:21" ht="15.75">
      <c r="A31" s="751"/>
      <c r="B31" s="852" t="s">
        <v>1291</v>
      </c>
      <c r="C31" s="853"/>
      <c r="D31" s="853"/>
      <c r="E31" s="755"/>
      <c r="F31" s="852" t="s">
        <v>831</v>
      </c>
      <c r="G31" s="853"/>
      <c r="H31" s="853"/>
      <c r="I31" s="853"/>
      <c r="J31" s="751"/>
      <c r="K31" s="710"/>
      <c r="L31" s="710"/>
      <c r="M31" s="710"/>
      <c r="N31" s="710"/>
      <c r="O31" s="710"/>
      <c r="P31" s="710"/>
      <c r="Q31" s="710"/>
      <c r="R31" s="710"/>
      <c r="S31" s="710"/>
      <c r="T31" s="710"/>
      <c r="U31" s="710"/>
    </row>
    <row r="32" spans="1:21">
      <c r="A32" s="751"/>
      <c r="B32" s="752"/>
      <c r="C32" s="755"/>
      <c r="D32" s="755"/>
      <c r="E32" s="755"/>
      <c r="F32" s="755"/>
      <c r="G32" s="751"/>
      <c r="H32" s="751"/>
      <c r="I32" s="753"/>
      <c r="J32" s="751"/>
      <c r="K32" s="747" t="s">
        <v>984</v>
      </c>
      <c r="L32" s="710"/>
      <c r="M32" s="710"/>
      <c r="N32" s="710"/>
      <c r="O32" s="710"/>
      <c r="P32" s="710"/>
      <c r="Q32" s="710"/>
      <c r="R32" s="710"/>
      <c r="S32" s="710"/>
      <c r="T32" s="710"/>
      <c r="U32" s="710"/>
    </row>
    <row r="33" spans="1:21">
      <c r="A33" s="751"/>
      <c r="B33" s="752"/>
      <c r="C33" s="755"/>
      <c r="D33" s="755"/>
      <c r="E33" s="755"/>
      <c r="F33" s="755"/>
      <c r="G33" s="751"/>
      <c r="H33" s="751"/>
      <c r="I33" s="753"/>
      <c r="J33" s="751"/>
      <c r="K33" s="710"/>
      <c r="L33" s="710"/>
      <c r="M33" s="710"/>
      <c r="N33" s="710"/>
      <c r="O33" s="710"/>
      <c r="P33" s="710"/>
      <c r="Q33" s="710"/>
      <c r="R33" s="710"/>
      <c r="S33" s="710"/>
      <c r="T33" s="710"/>
      <c r="U33" s="710"/>
    </row>
    <row r="34" spans="1:21">
      <c r="A34" s="751"/>
      <c r="B34" s="752"/>
      <c r="C34" s="755"/>
      <c r="D34" s="755"/>
      <c r="E34" s="755"/>
      <c r="F34" s="755"/>
      <c r="G34" s="751"/>
      <c r="H34" s="751"/>
      <c r="I34" s="753"/>
      <c r="J34" s="751"/>
      <c r="K34" s="710"/>
      <c r="L34" s="710"/>
      <c r="M34" s="710"/>
      <c r="N34" s="710"/>
      <c r="O34" s="710"/>
      <c r="P34" s="710"/>
      <c r="Q34" s="710"/>
      <c r="R34" s="710"/>
      <c r="S34" s="710"/>
      <c r="T34" s="710"/>
      <c r="U34" s="710"/>
    </row>
    <row r="35" spans="1:21">
      <c r="A35" s="751"/>
      <c r="B35" s="752"/>
      <c r="C35" s="755"/>
      <c r="D35" s="755"/>
      <c r="E35" s="755"/>
      <c r="F35" s="755"/>
      <c r="G35" s="751"/>
      <c r="H35" s="751"/>
      <c r="I35" s="753"/>
      <c r="J35" s="751"/>
      <c r="K35" s="710"/>
      <c r="L35" s="710"/>
      <c r="M35" s="710"/>
      <c r="N35" s="710"/>
      <c r="O35" s="710"/>
      <c r="P35" s="710"/>
      <c r="Q35" s="710"/>
      <c r="R35" s="710"/>
      <c r="S35" s="710"/>
      <c r="T35" s="710"/>
      <c r="U35" s="710"/>
    </row>
    <row r="36" spans="1:21">
      <c r="A36" s="751"/>
      <c r="B36" s="752"/>
      <c r="C36" s="755"/>
      <c r="D36" s="755"/>
      <c r="E36" s="755"/>
      <c r="F36" s="755"/>
      <c r="G36" s="751"/>
      <c r="H36" s="751"/>
      <c r="I36" s="753"/>
      <c r="J36" s="751"/>
      <c r="K36" s="710"/>
      <c r="L36" s="710"/>
      <c r="M36" s="710"/>
      <c r="N36" s="710"/>
      <c r="O36" s="710"/>
      <c r="P36" s="710"/>
      <c r="Q36" s="710"/>
      <c r="R36" s="710"/>
      <c r="S36" s="710"/>
      <c r="T36" s="710"/>
      <c r="U36" s="710"/>
    </row>
    <row r="37" spans="1:21">
      <c r="A37" s="751"/>
      <c r="B37" s="752"/>
      <c r="C37" s="755"/>
      <c r="D37" s="755"/>
      <c r="E37" s="755"/>
      <c r="F37" s="755"/>
      <c r="G37" s="751"/>
      <c r="H37" s="751"/>
      <c r="I37" s="753"/>
      <c r="J37" s="751"/>
      <c r="K37" s="710"/>
      <c r="L37" s="710"/>
      <c r="M37" s="710"/>
      <c r="N37" s="710"/>
      <c r="O37" s="710"/>
      <c r="P37" s="710"/>
      <c r="Q37" s="710"/>
      <c r="R37" s="710"/>
      <c r="S37" s="710"/>
      <c r="T37" s="710"/>
      <c r="U37" s="710"/>
    </row>
    <row r="38" spans="1:21" ht="12.75">
      <c r="A38" s="857" t="s">
        <v>796</v>
      </c>
      <c r="B38" s="857"/>
      <c r="C38" s="857"/>
      <c r="D38" s="857"/>
      <c r="E38" s="857"/>
      <c r="F38" s="857"/>
      <c r="G38" s="857"/>
      <c r="H38" s="857"/>
      <c r="I38" s="857"/>
      <c r="J38" s="857"/>
      <c r="K38" s="710"/>
      <c r="L38" s="710"/>
      <c r="M38" s="710"/>
      <c r="N38" s="710"/>
      <c r="O38" s="710"/>
      <c r="P38" s="710"/>
      <c r="Q38" s="710"/>
      <c r="R38" s="710"/>
      <c r="S38" s="710"/>
      <c r="T38" s="710"/>
      <c r="U38" s="710"/>
    </row>
    <row r="39" spans="1:21" ht="12.75">
      <c r="A39" s="860" t="s">
        <v>1050</v>
      </c>
      <c r="B39" s="860"/>
      <c r="C39" s="860"/>
      <c r="D39" s="860"/>
      <c r="E39" s="860"/>
      <c r="F39" s="860"/>
      <c r="G39" s="860"/>
      <c r="H39" s="860"/>
      <c r="I39" s="860"/>
      <c r="J39" s="860"/>
      <c r="K39" s="710"/>
      <c r="L39" s="710"/>
      <c r="M39" s="710"/>
      <c r="N39" s="710"/>
      <c r="O39" s="710"/>
      <c r="P39" s="710"/>
      <c r="Q39" s="710"/>
      <c r="R39" s="710"/>
      <c r="S39" s="710"/>
      <c r="T39" s="710"/>
      <c r="U39" s="710"/>
    </row>
    <row r="40" spans="1:21" ht="12.75">
      <c r="A40" s="857"/>
      <c r="B40" s="857"/>
      <c r="C40" s="857"/>
      <c r="D40" s="857"/>
      <c r="E40" s="857"/>
      <c r="F40" s="857"/>
      <c r="G40" s="857"/>
      <c r="H40" s="857"/>
      <c r="I40" s="857"/>
      <c r="J40" s="857"/>
      <c r="K40" s="710"/>
      <c r="L40" s="710"/>
      <c r="M40" s="710"/>
      <c r="N40" s="710"/>
      <c r="O40" s="710"/>
      <c r="P40" s="710"/>
      <c r="Q40" s="710"/>
      <c r="R40" s="710"/>
      <c r="S40" s="710"/>
      <c r="T40" s="710"/>
      <c r="U40" s="710"/>
    </row>
    <row r="41" spans="1:21" ht="12.75">
      <c r="A41" s="857" t="s">
        <v>1262</v>
      </c>
      <c r="B41" s="857"/>
      <c r="C41" s="857"/>
      <c r="D41" s="857"/>
      <c r="E41" s="857"/>
      <c r="F41" s="857"/>
      <c r="G41" s="857"/>
      <c r="H41" s="857"/>
      <c r="I41" s="857"/>
      <c r="J41" s="857"/>
      <c r="K41" s="710"/>
      <c r="L41" s="710"/>
      <c r="M41" s="710"/>
      <c r="N41" s="710"/>
      <c r="O41" s="710"/>
      <c r="P41" s="710"/>
      <c r="Q41" s="710"/>
      <c r="R41" s="710"/>
      <c r="S41" s="710"/>
      <c r="T41" s="710"/>
      <c r="U41" s="710"/>
    </row>
    <row r="42" spans="1:21" ht="13.15" customHeight="1">
      <c r="A42" s="858" t="s">
        <v>1289</v>
      </c>
      <c r="B42" s="858"/>
      <c r="C42" s="858"/>
      <c r="D42" s="858"/>
      <c r="E42" s="858"/>
      <c r="F42" s="858"/>
      <c r="G42" s="858"/>
      <c r="H42" s="858"/>
      <c r="I42" s="858"/>
      <c r="J42" s="858"/>
      <c r="K42" s="710"/>
      <c r="L42" s="710"/>
      <c r="M42" s="710"/>
      <c r="N42" s="710"/>
      <c r="O42" s="710"/>
      <c r="P42" s="710"/>
      <c r="Q42" s="710"/>
      <c r="R42" s="710"/>
      <c r="S42" s="710"/>
      <c r="T42" s="710"/>
      <c r="U42" s="710"/>
    </row>
    <row r="43" spans="1:21" ht="12.75">
      <c r="A43" s="838"/>
      <c r="B43" s="838"/>
      <c r="C43" s="838"/>
      <c r="D43" s="838"/>
      <c r="E43" s="838"/>
      <c r="F43" s="838"/>
      <c r="G43" s="838"/>
      <c r="H43" s="838"/>
      <c r="I43" s="838"/>
      <c r="J43" s="838"/>
      <c r="K43" s="710"/>
      <c r="L43" s="710"/>
      <c r="M43" s="710"/>
      <c r="N43" s="710"/>
      <c r="O43" s="710"/>
      <c r="P43" s="710"/>
      <c r="Q43" s="710"/>
      <c r="R43" s="710"/>
      <c r="S43" s="710"/>
      <c r="T43" s="710"/>
      <c r="U43" s="710"/>
    </row>
    <row r="44" spans="1:21" ht="15.6" customHeight="1">
      <c r="A44" s="752"/>
      <c r="B44" s="751"/>
      <c r="C44" s="751"/>
      <c r="D44" s="751"/>
      <c r="E44" s="751"/>
      <c r="F44" s="751"/>
      <c r="G44" s="751"/>
      <c r="H44" s="751"/>
      <c r="I44" s="751"/>
      <c r="J44" s="751"/>
      <c r="K44" s="710"/>
      <c r="L44" s="710"/>
      <c r="M44" s="710"/>
      <c r="N44" s="710"/>
      <c r="O44" s="710"/>
      <c r="P44" s="710"/>
      <c r="Q44" s="710"/>
      <c r="R44" s="710"/>
      <c r="S44" s="710"/>
      <c r="T44" s="710"/>
      <c r="U44" s="710"/>
    </row>
    <row r="45" spans="1:21" ht="15.75">
      <c r="A45" s="847" t="s">
        <v>792</v>
      </c>
      <c r="B45" s="847"/>
      <c r="C45" s="847"/>
      <c r="D45" s="847"/>
      <c r="E45" s="847"/>
      <c r="F45" s="847"/>
      <c r="G45" s="847"/>
      <c r="H45" s="847"/>
      <c r="I45" s="847"/>
      <c r="J45" s="848"/>
      <c r="K45" s="849" t="s">
        <v>883</v>
      </c>
      <c r="L45" s="824"/>
      <c r="M45" s="824"/>
      <c r="N45" s="824"/>
      <c r="O45" s="827"/>
      <c r="P45" s="710"/>
      <c r="Q45" s="710"/>
      <c r="R45" s="710"/>
      <c r="S45" s="710"/>
      <c r="T45" s="710"/>
      <c r="U45" s="710"/>
    </row>
    <row r="46" spans="1:21" ht="15.75">
      <c r="A46" s="847" t="s">
        <v>61</v>
      </c>
      <c r="B46" s="847"/>
      <c r="C46" s="847"/>
      <c r="D46" s="847"/>
      <c r="E46" s="847"/>
      <c r="F46" s="847"/>
      <c r="G46" s="847"/>
      <c r="H46" s="847"/>
      <c r="I46" s="847"/>
      <c r="J46" s="848"/>
      <c r="K46" s="824"/>
      <c r="L46" s="824"/>
      <c r="M46" s="824"/>
      <c r="N46" s="824"/>
      <c r="O46" s="827"/>
      <c r="P46" s="710"/>
      <c r="Q46" s="710"/>
      <c r="R46" s="710"/>
      <c r="S46" s="710"/>
      <c r="T46" s="710"/>
      <c r="U46" s="710"/>
    </row>
    <row r="47" spans="1:21">
      <c r="A47" s="752"/>
      <c r="B47" s="751"/>
      <c r="C47" s="751"/>
      <c r="D47" s="751"/>
      <c r="E47" s="751"/>
      <c r="F47" s="751"/>
      <c r="G47" s="751"/>
      <c r="H47" s="751"/>
      <c r="I47" s="751"/>
      <c r="J47" s="751"/>
      <c r="K47" s="710"/>
      <c r="L47" s="710"/>
      <c r="M47" s="710"/>
      <c r="N47" s="710"/>
      <c r="O47" s="710"/>
      <c r="P47" s="710"/>
      <c r="Q47" s="710"/>
      <c r="R47" s="710"/>
      <c r="S47" s="710"/>
      <c r="T47" s="710"/>
      <c r="U47" s="710"/>
    </row>
    <row r="48" spans="1:21">
      <c r="A48" s="752"/>
      <c r="B48" s="752"/>
      <c r="C48" s="751"/>
      <c r="D48" s="751"/>
      <c r="E48" s="751"/>
      <c r="F48" s="751"/>
      <c r="G48" s="751"/>
      <c r="H48" s="751"/>
      <c r="I48" s="756"/>
      <c r="J48" s="751"/>
      <c r="K48" s="710"/>
      <c r="L48" s="710"/>
      <c r="M48" s="710"/>
      <c r="N48" s="710"/>
      <c r="O48" s="710"/>
      <c r="P48" s="710"/>
      <c r="Q48" s="710"/>
      <c r="R48" s="710"/>
      <c r="S48" s="710"/>
      <c r="T48" s="710"/>
      <c r="U48" s="710"/>
    </row>
    <row r="49" spans="1:21">
      <c r="A49" s="746"/>
      <c r="B49" s="746"/>
      <c r="C49" s="710"/>
      <c r="D49" s="710"/>
      <c r="E49" s="710"/>
      <c r="F49" s="710"/>
      <c r="G49" s="710"/>
      <c r="H49" s="710"/>
      <c r="I49" s="757"/>
      <c r="J49" s="710"/>
      <c r="K49" s="710"/>
      <c r="L49" s="710"/>
      <c r="M49" s="710"/>
      <c r="N49" s="710"/>
      <c r="O49" s="710"/>
      <c r="P49" s="710"/>
      <c r="Q49" s="710"/>
      <c r="R49" s="710"/>
      <c r="S49" s="710"/>
      <c r="T49" s="710"/>
      <c r="U49" s="710"/>
    </row>
    <row r="50" spans="1:21">
      <c r="A50" s="746"/>
      <c r="B50" s="710"/>
      <c r="C50" s="710"/>
      <c r="D50" s="710"/>
      <c r="E50" s="710"/>
      <c r="F50" s="710"/>
      <c r="G50" s="710"/>
      <c r="H50" s="710"/>
      <c r="I50" s="710"/>
      <c r="J50" s="710"/>
      <c r="K50" s="710"/>
      <c r="L50" s="710"/>
      <c r="M50" s="710"/>
      <c r="N50" s="710"/>
      <c r="O50" s="710"/>
      <c r="P50" s="710"/>
      <c r="Q50" s="710"/>
      <c r="R50" s="710"/>
      <c r="S50" s="710"/>
      <c r="T50" s="710"/>
      <c r="U50" s="710"/>
    </row>
    <row r="51" spans="1:21">
      <c r="A51" s="746"/>
      <c r="B51" s="710"/>
      <c r="C51" s="710"/>
      <c r="D51" s="710"/>
      <c r="E51" s="710"/>
      <c r="F51" s="710"/>
      <c r="G51" s="710"/>
      <c r="H51" s="710"/>
      <c r="I51" s="710"/>
      <c r="J51" s="710"/>
      <c r="K51" s="710"/>
      <c r="L51" s="710"/>
      <c r="M51" s="710"/>
      <c r="N51" s="710"/>
      <c r="O51" s="710"/>
      <c r="P51" s="710"/>
      <c r="Q51" s="710"/>
      <c r="R51" s="710"/>
      <c r="S51" s="710"/>
      <c r="T51" s="710"/>
      <c r="U51" s="710"/>
    </row>
    <row r="52" spans="1:21">
      <c r="A52" s="746"/>
      <c r="B52" s="710"/>
      <c r="C52" s="710"/>
      <c r="D52" s="710"/>
      <c r="E52" s="710"/>
      <c r="F52" s="710"/>
      <c r="G52" s="710"/>
      <c r="H52" s="710"/>
      <c r="I52" s="710"/>
      <c r="J52" s="710"/>
      <c r="K52" s="710"/>
      <c r="L52" s="710"/>
      <c r="M52" s="710"/>
      <c r="N52" s="710"/>
      <c r="O52" s="710"/>
      <c r="P52" s="710"/>
      <c r="Q52" s="710"/>
      <c r="R52" s="710"/>
      <c r="S52" s="710"/>
      <c r="T52" s="710"/>
      <c r="U52" s="710"/>
    </row>
    <row r="53" spans="1:21">
      <c r="A53" s="746"/>
      <c r="B53" s="710"/>
      <c r="C53" s="710"/>
      <c r="D53" s="710"/>
      <c r="E53" s="710"/>
      <c r="F53" s="710"/>
      <c r="G53" s="710"/>
      <c r="H53" s="710"/>
      <c r="I53" s="710"/>
      <c r="J53" s="710"/>
      <c r="K53" s="710"/>
      <c r="L53" s="710"/>
      <c r="M53" s="710"/>
      <c r="N53" s="710"/>
      <c r="O53" s="710"/>
      <c r="P53" s="710"/>
      <c r="Q53" s="710"/>
      <c r="R53" s="710"/>
      <c r="S53" s="710"/>
      <c r="T53" s="710"/>
      <c r="U53" s="710"/>
    </row>
    <row r="54" spans="1:21">
      <c r="A54" s="746"/>
      <c r="B54" s="710"/>
      <c r="C54" s="710"/>
      <c r="D54" s="710"/>
      <c r="E54" s="710"/>
      <c r="F54" s="710"/>
      <c r="G54" s="710"/>
      <c r="H54" s="710"/>
      <c r="I54" s="710"/>
      <c r="J54" s="710"/>
      <c r="K54" s="710"/>
      <c r="L54" s="710"/>
      <c r="M54" s="710"/>
      <c r="N54" s="710"/>
      <c r="O54" s="710"/>
      <c r="P54" s="710"/>
      <c r="Q54" s="710"/>
      <c r="R54" s="710"/>
      <c r="S54" s="710"/>
      <c r="T54" s="710"/>
      <c r="U54" s="710"/>
    </row>
    <row r="55" spans="1:21">
      <c r="A55" s="746"/>
      <c r="B55" s="710"/>
      <c r="C55" s="710"/>
      <c r="D55" s="710"/>
      <c r="E55" s="710"/>
      <c r="F55" s="710"/>
      <c r="G55" s="710"/>
      <c r="H55" s="710"/>
      <c r="I55" s="710"/>
      <c r="J55" s="710"/>
      <c r="K55" s="710"/>
      <c r="L55" s="710"/>
      <c r="M55" s="710"/>
      <c r="N55" s="710"/>
      <c r="O55" s="710"/>
      <c r="P55" s="710"/>
      <c r="Q55" s="710"/>
      <c r="R55" s="710"/>
      <c r="S55" s="710"/>
      <c r="T55" s="710"/>
      <c r="U55" s="710"/>
    </row>
    <row r="56" spans="1:21">
      <c r="A56" s="746"/>
      <c r="B56" s="710"/>
      <c r="C56" s="710"/>
      <c r="D56" s="710"/>
      <c r="E56" s="710"/>
      <c r="F56" s="710"/>
      <c r="G56" s="710"/>
      <c r="H56" s="710"/>
      <c r="I56" s="710"/>
      <c r="J56" s="710"/>
      <c r="K56" s="710"/>
      <c r="L56" s="710"/>
      <c r="M56" s="710"/>
      <c r="N56" s="710"/>
      <c r="O56" s="710"/>
      <c r="P56" s="710"/>
      <c r="Q56" s="710"/>
      <c r="R56" s="710"/>
      <c r="S56" s="710"/>
      <c r="T56" s="710"/>
      <c r="U56" s="710"/>
    </row>
    <row r="57" spans="1:21">
      <c r="A57" s="746"/>
      <c r="B57" s="710"/>
      <c r="C57" s="710"/>
      <c r="D57" s="710"/>
      <c r="E57" s="710"/>
      <c r="F57" s="710"/>
      <c r="G57" s="710"/>
      <c r="H57" s="710"/>
      <c r="I57" s="710"/>
      <c r="J57" s="710"/>
      <c r="K57" s="710"/>
      <c r="L57" s="710"/>
      <c r="M57" s="710"/>
      <c r="N57" s="710"/>
      <c r="O57" s="710"/>
      <c r="P57" s="710"/>
      <c r="Q57" s="710"/>
      <c r="R57" s="710"/>
      <c r="S57" s="710"/>
      <c r="T57" s="710"/>
      <c r="U57" s="710"/>
    </row>
    <row r="58" spans="1:21">
      <c r="A58" s="746"/>
      <c r="B58" s="710"/>
      <c r="C58" s="710"/>
      <c r="D58" s="710"/>
      <c r="E58" s="710"/>
      <c r="F58" s="710"/>
      <c r="G58" s="710"/>
      <c r="H58" s="710"/>
      <c r="I58" s="710"/>
      <c r="J58" s="710"/>
      <c r="K58" s="710"/>
      <c r="L58" s="710"/>
      <c r="M58" s="710"/>
      <c r="N58" s="710"/>
      <c r="O58" s="710"/>
      <c r="P58" s="710"/>
      <c r="Q58" s="710"/>
      <c r="R58" s="710"/>
      <c r="S58" s="710"/>
      <c r="T58" s="710"/>
      <c r="U58" s="710"/>
    </row>
    <row r="59" spans="1:21">
      <c r="A59" s="746"/>
      <c r="B59" s="710"/>
      <c r="C59" s="710"/>
      <c r="D59" s="710"/>
      <c r="E59" s="710"/>
      <c r="F59" s="710"/>
      <c r="G59" s="710"/>
      <c r="H59" s="710"/>
      <c r="I59" s="710"/>
      <c r="J59" s="710"/>
      <c r="K59" s="710"/>
      <c r="L59" s="710"/>
      <c r="M59" s="710"/>
      <c r="N59" s="710"/>
      <c r="O59" s="710"/>
      <c r="P59" s="710"/>
      <c r="Q59" s="710"/>
      <c r="R59" s="710"/>
      <c r="S59" s="710"/>
      <c r="T59" s="710"/>
      <c r="U59" s="710"/>
    </row>
    <row r="60" spans="1:21">
      <c r="A60" s="746"/>
      <c r="B60" s="710"/>
      <c r="C60" s="710"/>
      <c r="D60" s="710"/>
      <c r="E60" s="710"/>
      <c r="F60" s="710"/>
      <c r="G60" s="710"/>
      <c r="H60" s="710"/>
      <c r="I60" s="710"/>
      <c r="J60" s="710"/>
      <c r="K60" s="710"/>
      <c r="L60" s="710"/>
      <c r="M60" s="710"/>
      <c r="N60" s="710"/>
      <c r="O60" s="710"/>
      <c r="P60" s="710"/>
      <c r="Q60" s="710"/>
      <c r="R60" s="710"/>
      <c r="S60" s="710"/>
      <c r="T60" s="710"/>
      <c r="U60" s="710"/>
    </row>
    <row r="61" spans="1:21">
      <c r="A61" s="746"/>
      <c r="B61" s="710"/>
      <c r="C61" s="710"/>
      <c r="D61" s="710"/>
      <c r="E61" s="710"/>
      <c r="F61" s="710"/>
      <c r="G61" s="710"/>
      <c r="H61" s="710"/>
      <c r="I61" s="710"/>
      <c r="J61" s="710"/>
      <c r="K61" s="710"/>
      <c r="L61" s="710"/>
      <c r="M61" s="710"/>
      <c r="N61" s="710"/>
      <c r="O61" s="710"/>
      <c r="P61" s="710"/>
      <c r="Q61" s="710"/>
      <c r="R61" s="710"/>
      <c r="S61" s="710"/>
      <c r="T61" s="710"/>
      <c r="U61" s="710"/>
    </row>
    <row r="62" spans="1:21">
      <c r="A62" s="746"/>
      <c r="B62" s="710"/>
      <c r="C62" s="710"/>
      <c r="D62" s="710"/>
      <c r="E62" s="710"/>
      <c r="F62" s="710"/>
      <c r="G62" s="710"/>
      <c r="H62" s="710"/>
      <c r="I62" s="710"/>
      <c r="J62" s="710"/>
      <c r="K62" s="710"/>
      <c r="L62" s="710"/>
      <c r="M62" s="710"/>
      <c r="N62" s="710"/>
      <c r="O62" s="710"/>
      <c r="P62" s="710"/>
      <c r="Q62" s="710"/>
      <c r="R62" s="710"/>
      <c r="S62" s="710"/>
      <c r="T62" s="710"/>
      <c r="U62" s="710"/>
    </row>
    <row r="63" spans="1:21">
      <c r="A63" s="746"/>
      <c r="B63" s="710"/>
      <c r="C63" s="710"/>
      <c r="D63" s="710"/>
      <c r="E63" s="710"/>
      <c r="F63" s="710"/>
      <c r="G63" s="710"/>
      <c r="H63" s="710"/>
      <c r="I63" s="710"/>
      <c r="J63" s="710"/>
      <c r="K63" s="710"/>
      <c r="L63" s="710"/>
      <c r="M63" s="710"/>
      <c r="N63" s="710"/>
      <c r="O63" s="710"/>
      <c r="P63" s="710"/>
      <c r="Q63" s="710"/>
      <c r="R63" s="710"/>
      <c r="S63" s="710"/>
      <c r="T63" s="710"/>
      <c r="U63" s="710"/>
    </row>
    <row r="64" spans="1:21">
      <c r="A64" s="746"/>
      <c r="B64" s="710"/>
      <c r="C64" s="710"/>
      <c r="D64" s="710"/>
      <c r="E64" s="710"/>
      <c r="F64" s="710"/>
      <c r="G64" s="710"/>
      <c r="H64" s="710"/>
      <c r="I64" s="710"/>
      <c r="J64" s="710"/>
      <c r="K64" s="710"/>
      <c r="L64" s="710"/>
      <c r="M64" s="710"/>
      <c r="N64" s="710"/>
      <c r="O64" s="710"/>
      <c r="P64" s="710"/>
      <c r="Q64" s="710"/>
      <c r="R64" s="710"/>
      <c r="S64" s="710"/>
      <c r="T64" s="710"/>
      <c r="U64" s="710"/>
    </row>
    <row r="65" spans="1:21">
      <c r="A65" s="746"/>
      <c r="B65" s="710"/>
      <c r="C65" s="710"/>
      <c r="D65" s="710"/>
      <c r="E65" s="710"/>
      <c r="F65" s="710"/>
      <c r="G65" s="710"/>
      <c r="H65" s="710"/>
      <c r="I65" s="710"/>
      <c r="J65" s="710"/>
      <c r="K65" s="710"/>
      <c r="L65" s="710"/>
      <c r="M65" s="710"/>
      <c r="N65" s="710"/>
      <c r="O65" s="710"/>
      <c r="P65" s="710"/>
      <c r="Q65" s="710"/>
      <c r="R65" s="710"/>
      <c r="S65" s="710"/>
      <c r="T65" s="710"/>
      <c r="U65" s="710"/>
    </row>
    <row r="66" spans="1:21">
      <c r="A66" s="746"/>
      <c r="B66" s="710"/>
      <c r="C66" s="710"/>
      <c r="D66" s="710"/>
      <c r="E66" s="710"/>
      <c r="F66" s="710"/>
      <c r="G66" s="710"/>
      <c r="H66" s="710"/>
      <c r="I66" s="710"/>
      <c r="J66" s="710"/>
      <c r="K66" s="710"/>
      <c r="L66" s="710"/>
      <c r="M66" s="710"/>
      <c r="N66" s="710"/>
      <c r="O66" s="710"/>
      <c r="P66" s="710"/>
      <c r="Q66" s="710"/>
      <c r="R66" s="710"/>
      <c r="S66" s="710"/>
      <c r="T66" s="710"/>
      <c r="U66" s="710"/>
    </row>
    <row r="67" spans="1:21">
      <c r="A67" s="746"/>
      <c r="B67" s="710"/>
      <c r="C67" s="710"/>
      <c r="D67" s="710"/>
      <c r="E67" s="710"/>
      <c r="F67" s="710"/>
      <c r="G67" s="710"/>
      <c r="H67" s="710"/>
      <c r="I67" s="710"/>
      <c r="J67" s="710"/>
      <c r="K67" s="710"/>
      <c r="L67" s="710"/>
      <c r="M67" s="710"/>
      <c r="N67" s="710"/>
      <c r="O67" s="710"/>
      <c r="P67" s="710"/>
      <c r="Q67" s="710"/>
      <c r="R67" s="710"/>
      <c r="S67" s="710"/>
      <c r="T67" s="710"/>
      <c r="U67" s="710"/>
    </row>
    <row r="68" spans="1:21">
      <c r="A68" s="746"/>
      <c r="B68" s="710"/>
      <c r="C68" s="710"/>
      <c r="D68" s="710"/>
      <c r="E68" s="710"/>
      <c r="F68" s="710"/>
      <c r="G68" s="710"/>
      <c r="H68" s="710"/>
      <c r="I68" s="710"/>
      <c r="J68" s="710"/>
      <c r="K68" s="710"/>
      <c r="L68" s="710"/>
      <c r="M68" s="710"/>
      <c r="N68" s="710"/>
      <c r="O68" s="710"/>
      <c r="P68" s="710"/>
      <c r="Q68" s="710"/>
      <c r="R68" s="710"/>
      <c r="S68" s="710"/>
      <c r="T68" s="710"/>
      <c r="U68" s="710"/>
    </row>
    <row r="69" spans="1:21">
      <c r="A69" s="746"/>
      <c r="B69" s="710"/>
      <c r="C69" s="710"/>
      <c r="D69" s="710"/>
      <c r="E69" s="710"/>
      <c r="F69" s="710"/>
      <c r="G69" s="710"/>
      <c r="H69" s="710"/>
      <c r="I69" s="710"/>
      <c r="J69" s="710"/>
      <c r="K69" s="710"/>
      <c r="L69" s="710"/>
      <c r="M69" s="710"/>
      <c r="N69" s="710"/>
      <c r="O69" s="710"/>
      <c r="P69" s="710"/>
      <c r="Q69" s="710"/>
      <c r="R69" s="710"/>
      <c r="S69" s="710"/>
      <c r="T69" s="710"/>
      <c r="U69" s="710"/>
    </row>
    <row r="70" spans="1:21">
      <c r="A70" s="746"/>
      <c r="B70" s="710"/>
      <c r="C70" s="710"/>
      <c r="D70" s="710"/>
      <c r="E70" s="710"/>
      <c r="F70" s="710"/>
      <c r="G70" s="710"/>
      <c r="H70" s="710"/>
      <c r="I70" s="710"/>
      <c r="J70" s="710"/>
      <c r="K70" s="710"/>
      <c r="L70" s="710"/>
      <c r="M70" s="710"/>
      <c r="N70" s="710"/>
      <c r="O70" s="710"/>
      <c r="P70" s="710"/>
      <c r="Q70" s="710"/>
      <c r="R70" s="710"/>
      <c r="S70" s="710"/>
      <c r="T70" s="710"/>
      <c r="U70" s="710"/>
    </row>
    <row r="71" spans="1:21">
      <c r="A71" s="746"/>
      <c r="B71" s="710"/>
      <c r="C71" s="710"/>
      <c r="D71" s="710"/>
      <c r="E71" s="710"/>
      <c r="F71" s="710"/>
      <c r="G71" s="710"/>
      <c r="H71" s="710"/>
      <c r="I71" s="710"/>
      <c r="J71" s="710"/>
      <c r="K71" s="710"/>
      <c r="L71" s="710"/>
      <c r="M71" s="710"/>
      <c r="N71" s="710"/>
      <c r="O71" s="710"/>
      <c r="P71" s="710"/>
      <c r="Q71" s="710"/>
      <c r="R71" s="710"/>
      <c r="S71" s="710"/>
      <c r="T71" s="710"/>
      <c r="U71" s="710"/>
    </row>
    <row r="72" spans="1:21">
      <c r="A72" s="746"/>
      <c r="B72" s="710"/>
      <c r="C72" s="710"/>
      <c r="D72" s="710"/>
      <c r="E72" s="710"/>
      <c r="F72" s="710"/>
      <c r="G72" s="710"/>
      <c r="H72" s="710"/>
      <c r="I72" s="710"/>
      <c r="J72" s="710"/>
      <c r="K72" s="710"/>
      <c r="L72" s="710"/>
      <c r="M72" s="710"/>
      <c r="N72" s="710"/>
      <c r="O72" s="710"/>
      <c r="P72" s="710"/>
      <c r="Q72" s="710"/>
      <c r="R72" s="710"/>
      <c r="S72" s="710"/>
      <c r="T72" s="710"/>
      <c r="U72" s="710"/>
    </row>
    <row r="73" spans="1:21">
      <c r="A73" s="746"/>
      <c r="B73" s="710"/>
      <c r="C73" s="710"/>
      <c r="D73" s="710"/>
      <c r="E73" s="710"/>
      <c r="F73" s="710"/>
      <c r="G73" s="710"/>
      <c r="H73" s="710"/>
      <c r="I73" s="710"/>
      <c r="J73" s="710"/>
      <c r="K73" s="710"/>
      <c r="L73" s="710"/>
      <c r="M73" s="710"/>
      <c r="N73" s="710"/>
      <c r="O73" s="710"/>
      <c r="P73" s="710"/>
      <c r="Q73" s="710"/>
      <c r="R73" s="710"/>
      <c r="S73" s="710"/>
      <c r="T73" s="710"/>
      <c r="U73" s="710"/>
    </row>
    <row r="74" spans="1:21">
      <c r="A74" s="746"/>
      <c r="B74" s="710"/>
      <c r="C74" s="710"/>
      <c r="D74" s="710"/>
      <c r="E74" s="710"/>
      <c r="F74" s="710"/>
      <c r="G74" s="710"/>
      <c r="H74" s="710"/>
      <c r="I74" s="710"/>
      <c r="J74" s="710"/>
      <c r="K74" s="710"/>
      <c r="L74" s="710"/>
      <c r="M74" s="710"/>
      <c r="N74" s="710"/>
      <c r="O74" s="710"/>
      <c r="P74" s="710"/>
      <c r="Q74" s="710"/>
      <c r="R74" s="710"/>
      <c r="S74" s="710"/>
      <c r="T74" s="710"/>
      <c r="U74" s="710"/>
    </row>
    <row r="75" spans="1:21">
      <c r="A75" s="746"/>
      <c r="B75" s="710"/>
      <c r="C75" s="710"/>
      <c r="D75" s="710"/>
      <c r="E75" s="710"/>
      <c r="F75" s="710"/>
      <c r="G75" s="710"/>
      <c r="H75" s="710"/>
      <c r="I75" s="710"/>
      <c r="J75" s="710"/>
      <c r="K75" s="710"/>
      <c r="L75" s="710"/>
      <c r="M75" s="710"/>
      <c r="N75" s="710"/>
      <c r="O75" s="710"/>
      <c r="P75" s="710"/>
      <c r="Q75" s="710"/>
      <c r="R75" s="710"/>
      <c r="S75" s="710"/>
      <c r="T75" s="710"/>
      <c r="U75" s="710"/>
    </row>
    <row r="76" spans="1:21">
      <c r="A76" s="746"/>
      <c r="B76" s="710"/>
      <c r="C76" s="710"/>
      <c r="D76" s="710"/>
      <c r="E76" s="710"/>
      <c r="F76" s="710"/>
      <c r="G76" s="710"/>
      <c r="H76" s="710"/>
      <c r="I76" s="710"/>
      <c r="J76" s="710"/>
      <c r="K76" s="710"/>
      <c r="L76" s="710"/>
      <c r="M76" s="710"/>
      <c r="N76" s="710"/>
      <c r="O76" s="710"/>
      <c r="P76" s="710"/>
      <c r="Q76" s="710"/>
      <c r="R76" s="710"/>
      <c r="S76" s="710"/>
      <c r="T76" s="710"/>
      <c r="U76" s="710"/>
    </row>
    <row r="77" spans="1:21">
      <c r="A77" s="746"/>
      <c r="B77" s="710"/>
      <c r="C77" s="710"/>
      <c r="D77" s="710"/>
      <c r="E77" s="710"/>
      <c r="F77" s="710"/>
      <c r="G77" s="710"/>
      <c r="H77" s="710"/>
      <c r="I77" s="710"/>
      <c r="J77" s="710"/>
      <c r="K77" s="710"/>
      <c r="L77" s="710"/>
      <c r="M77" s="710"/>
      <c r="N77" s="710"/>
      <c r="O77" s="710"/>
      <c r="P77" s="710"/>
      <c r="Q77" s="710"/>
      <c r="R77" s="710"/>
      <c r="S77" s="710"/>
      <c r="T77" s="710"/>
      <c r="U77" s="710"/>
    </row>
    <row r="78" spans="1:21">
      <c r="A78" s="746"/>
      <c r="B78" s="710"/>
      <c r="C78" s="710"/>
      <c r="D78" s="710"/>
      <c r="E78" s="710"/>
      <c r="F78" s="710"/>
      <c r="G78" s="710"/>
      <c r="H78" s="710"/>
      <c r="I78" s="710"/>
      <c r="J78" s="710"/>
      <c r="K78" s="710"/>
      <c r="L78" s="710"/>
      <c r="M78" s="710"/>
      <c r="N78" s="710"/>
      <c r="O78" s="710"/>
      <c r="P78" s="710"/>
      <c r="Q78" s="710"/>
      <c r="R78" s="710"/>
      <c r="S78" s="710"/>
      <c r="T78" s="710"/>
      <c r="U78" s="710"/>
    </row>
    <row r="79" spans="1:21">
      <c r="A79" s="746"/>
      <c r="B79" s="710"/>
      <c r="C79" s="710"/>
      <c r="D79" s="710"/>
      <c r="E79" s="710"/>
      <c r="F79" s="710"/>
      <c r="G79" s="710"/>
      <c r="H79" s="710"/>
      <c r="I79" s="710"/>
      <c r="J79" s="710"/>
      <c r="K79" s="710"/>
      <c r="L79" s="710"/>
      <c r="M79" s="710"/>
      <c r="N79" s="710"/>
      <c r="O79" s="710"/>
      <c r="P79" s="710"/>
      <c r="Q79" s="710"/>
      <c r="R79" s="710"/>
      <c r="S79" s="710"/>
      <c r="T79" s="710"/>
      <c r="U79" s="710"/>
    </row>
    <row r="80" spans="1:21">
      <c r="A80" s="746"/>
      <c r="B80" s="710"/>
      <c r="C80" s="710"/>
      <c r="D80" s="710"/>
      <c r="E80" s="710"/>
      <c r="F80" s="710"/>
      <c r="G80" s="710"/>
      <c r="H80" s="710"/>
      <c r="I80" s="710"/>
      <c r="J80" s="710"/>
      <c r="K80" s="710"/>
      <c r="L80" s="710"/>
      <c r="M80" s="710"/>
      <c r="N80" s="710"/>
      <c r="O80" s="710"/>
      <c r="P80" s="710"/>
      <c r="Q80" s="710"/>
      <c r="R80" s="710"/>
      <c r="S80" s="710"/>
      <c r="T80" s="710"/>
      <c r="U80" s="710"/>
    </row>
    <row r="81" spans="1:21">
      <c r="A81" s="746"/>
      <c r="B81" s="710"/>
      <c r="C81" s="710"/>
      <c r="D81" s="710"/>
      <c r="E81" s="710"/>
      <c r="F81" s="710"/>
      <c r="G81" s="710"/>
      <c r="H81" s="710"/>
      <c r="I81" s="710"/>
      <c r="J81" s="710"/>
      <c r="K81" s="710"/>
      <c r="L81" s="710"/>
      <c r="M81" s="710"/>
      <c r="N81" s="710"/>
      <c r="O81" s="710"/>
      <c r="P81" s="710"/>
      <c r="Q81" s="710"/>
      <c r="R81" s="710"/>
      <c r="S81" s="710"/>
      <c r="T81" s="710"/>
      <c r="U81" s="710"/>
    </row>
    <row r="82" spans="1:21">
      <c r="A82" s="746"/>
      <c r="B82" s="710"/>
      <c r="C82" s="710"/>
      <c r="D82" s="710"/>
      <c r="E82" s="710"/>
      <c r="F82" s="710"/>
      <c r="G82" s="710"/>
      <c r="H82" s="710"/>
      <c r="I82" s="710"/>
      <c r="J82" s="710"/>
      <c r="K82" s="710"/>
      <c r="L82" s="710"/>
      <c r="M82" s="710"/>
      <c r="N82" s="710"/>
      <c r="O82" s="710"/>
      <c r="P82" s="710"/>
      <c r="Q82" s="710"/>
      <c r="R82" s="710"/>
      <c r="S82" s="710"/>
      <c r="T82" s="710"/>
      <c r="U82" s="710"/>
    </row>
    <row r="83" spans="1:21">
      <c r="A83" s="746"/>
      <c r="B83" s="710"/>
      <c r="C83" s="710"/>
      <c r="D83" s="710"/>
      <c r="E83" s="710"/>
      <c r="F83" s="710"/>
      <c r="G83" s="710"/>
      <c r="H83" s="710"/>
      <c r="I83" s="710"/>
      <c r="J83" s="710"/>
      <c r="K83" s="710"/>
      <c r="L83" s="710"/>
      <c r="M83" s="710"/>
      <c r="N83" s="710"/>
      <c r="O83" s="710"/>
      <c r="P83" s="710"/>
      <c r="Q83" s="710"/>
      <c r="R83" s="710"/>
      <c r="S83" s="710"/>
      <c r="T83" s="710"/>
      <c r="U83" s="710"/>
    </row>
    <row r="84" spans="1:21">
      <c r="A84" s="746"/>
      <c r="B84" s="710"/>
      <c r="C84" s="710"/>
      <c r="D84" s="710"/>
      <c r="E84" s="710"/>
      <c r="F84" s="710"/>
      <c r="G84" s="710"/>
      <c r="H84" s="710"/>
      <c r="I84" s="710"/>
      <c r="J84" s="710"/>
      <c r="K84" s="710"/>
      <c r="L84" s="710"/>
      <c r="M84" s="710"/>
      <c r="N84" s="710"/>
      <c r="O84" s="710"/>
      <c r="P84" s="710"/>
      <c r="Q84" s="710"/>
      <c r="R84" s="710"/>
      <c r="S84" s="710"/>
      <c r="T84" s="710"/>
      <c r="U84" s="710"/>
    </row>
    <row r="85" spans="1:21">
      <c r="A85" s="746"/>
      <c r="B85" s="710"/>
      <c r="C85" s="710"/>
      <c r="D85" s="710"/>
      <c r="E85" s="710"/>
      <c r="F85" s="710"/>
      <c r="G85" s="710"/>
      <c r="H85" s="710"/>
      <c r="I85" s="710"/>
      <c r="J85" s="710"/>
      <c r="K85" s="710"/>
      <c r="L85" s="710"/>
      <c r="M85" s="710"/>
      <c r="N85" s="710"/>
      <c r="O85" s="710"/>
      <c r="P85" s="710"/>
      <c r="Q85" s="710"/>
      <c r="R85" s="710"/>
      <c r="S85" s="710"/>
      <c r="T85" s="710"/>
      <c r="U85" s="710"/>
    </row>
    <row r="86" spans="1:21">
      <c r="A86" s="746"/>
      <c r="B86" s="710"/>
      <c r="C86" s="710"/>
      <c r="D86" s="710"/>
      <c r="E86" s="710"/>
      <c r="F86" s="710"/>
      <c r="G86" s="710"/>
      <c r="H86" s="710"/>
      <c r="I86" s="710"/>
      <c r="J86" s="710"/>
      <c r="K86" s="710"/>
      <c r="L86" s="710"/>
      <c r="M86" s="710"/>
      <c r="N86" s="710"/>
      <c r="O86" s="710"/>
      <c r="P86" s="710"/>
      <c r="Q86" s="710"/>
      <c r="R86" s="710"/>
      <c r="S86" s="710"/>
      <c r="T86" s="710"/>
      <c r="U86" s="710"/>
    </row>
    <row r="87" spans="1:21">
      <c r="A87" s="746"/>
      <c r="B87" s="710"/>
      <c r="C87" s="710"/>
      <c r="D87" s="710"/>
      <c r="E87" s="710"/>
      <c r="F87" s="710"/>
      <c r="G87" s="710"/>
      <c r="H87" s="710"/>
      <c r="I87" s="710"/>
      <c r="J87" s="710"/>
      <c r="K87" s="710"/>
      <c r="L87" s="710"/>
      <c r="M87" s="710"/>
      <c r="N87" s="710"/>
      <c r="O87" s="710"/>
      <c r="P87" s="710"/>
      <c r="Q87" s="710"/>
      <c r="R87" s="710"/>
      <c r="S87" s="710"/>
      <c r="T87" s="710"/>
      <c r="U87" s="710"/>
    </row>
    <row r="88" spans="1:21">
      <c r="A88" s="746"/>
      <c r="B88" s="710"/>
      <c r="C88" s="710"/>
      <c r="D88" s="710"/>
      <c r="E88" s="710"/>
      <c r="F88" s="710"/>
      <c r="G88" s="710"/>
      <c r="H88" s="710"/>
      <c r="I88" s="710"/>
      <c r="J88" s="710"/>
      <c r="K88" s="710"/>
      <c r="L88" s="710"/>
      <c r="M88" s="710"/>
      <c r="N88" s="710"/>
      <c r="O88" s="710"/>
      <c r="P88" s="710"/>
      <c r="Q88" s="710"/>
      <c r="R88" s="710"/>
      <c r="S88" s="710"/>
      <c r="T88" s="710"/>
      <c r="U88" s="710"/>
    </row>
    <row r="89" spans="1:21">
      <c r="A89" s="746"/>
      <c r="B89" s="710"/>
      <c r="C89" s="710"/>
      <c r="D89" s="710"/>
      <c r="E89" s="710"/>
      <c r="F89" s="710"/>
      <c r="G89" s="710"/>
      <c r="H89" s="710"/>
      <c r="I89" s="710"/>
      <c r="J89" s="710"/>
      <c r="K89" s="710"/>
      <c r="L89" s="710"/>
      <c r="M89" s="710"/>
      <c r="N89" s="710"/>
      <c r="O89" s="710"/>
      <c r="P89" s="710"/>
      <c r="Q89" s="710"/>
      <c r="R89" s="710"/>
      <c r="S89" s="710"/>
      <c r="T89" s="710"/>
      <c r="U89" s="710"/>
    </row>
    <row r="90" spans="1:21">
      <c r="A90" s="746"/>
      <c r="B90" s="710"/>
      <c r="C90" s="710"/>
      <c r="D90" s="710"/>
      <c r="E90" s="710"/>
      <c r="F90" s="710"/>
      <c r="G90" s="710"/>
      <c r="H90" s="710"/>
      <c r="I90" s="710"/>
      <c r="J90" s="710"/>
      <c r="K90" s="710"/>
      <c r="L90" s="710"/>
      <c r="M90" s="710"/>
      <c r="N90" s="710"/>
      <c r="O90" s="710"/>
      <c r="P90" s="710"/>
      <c r="Q90" s="710"/>
      <c r="R90" s="710"/>
      <c r="S90" s="710"/>
      <c r="T90" s="710"/>
      <c r="U90" s="710"/>
    </row>
    <row r="91" spans="1:21">
      <c r="A91" s="746"/>
      <c r="B91" s="710"/>
      <c r="C91" s="710"/>
      <c r="D91" s="710"/>
      <c r="E91" s="710"/>
      <c r="F91" s="710"/>
      <c r="G91" s="710"/>
      <c r="H91" s="710"/>
      <c r="I91" s="710"/>
      <c r="J91" s="710"/>
      <c r="K91" s="710"/>
      <c r="L91" s="710"/>
      <c r="M91" s="710"/>
      <c r="N91" s="710"/>
      <c r="O91" s="710"/>
      <c r="P91" s="710"/>
      <c r="Q91" s="710"/>
      <c r="R91" s="710"/>
      <c r="S91" s="710"/>
      <c r="T91" s="710"/>
      <c r="U91" s="710"/>
    </row>
    <row r="92" spans="1:21">
      <c r="A92" s="746"/>
      <c r="B92" s="710"/>
      <c r="C92" s="710"/>
      <c r="D92" s="710"/>
      <c r="E92" s="710"/>
      <c r="F92" s="710"/>
      <c r="G92" s="710"/>
      <c r="H92" s="710"/>
      <c r="I92" s="710"/>
      <c r="J92" s="710"/>
      <c r="K92" s="710"/>
      <c r="L92" s="710"/>
      <c r="M92" s="710"/>
      <c r="N92" s="710"/>
      <c r="O92" s="710"/>
      <c r="P92" s="710"/>
      <c r="Q92" s="710"/>
      <c r="R92" s="710"/>
      <c r="S92" s="710"/>
      <c r="T92" s="710"/>
      <c r="U92" s="710"/>
    </row>
    <row r="93" spans="1:21">
      <c r="A93" s="746"/>
      <c r="B93" s="710"/>
      <c r="C93" s="710"/>
      <c r="D93" s="710"/>
      <c r="E93" s="710"/>
      <c r="F93" s="710"/>
      <c r="G93" s="710"/>
      <c r="H93" s="710"/>
      <c r="I93" s="710"/>
      <c r="J93" s="710"/>
      <c r="K93" s="710"/>
      <c r="L93" s="710"/>
      <c r="M93" s="710"/>
      <c r="N93" s="710"/>
      <c r="O93" s="710"/>
      <c r="P93" s="710"/>
      <c r="Q93" s="710"/>
      <c r="R93" s="710"/>
      <c r="S93" s="710"/>
      <c r="T93" s="710"/>
      <c r="U93" s="710"/>
    </row>
    <row r="94" spans="1:21">
      <c r="A94" s="746"/>
      <c r="B94" s="710"/>
      <c r="C94" s="710"/>
      <c r="D94" s="710"/>
      <c r="E94" s="710"/>
      <c r="F94" s="710"/>
      <c r="G94" s="710"/>
      <c r="H94" s="710"/>
      <c r="I94" s="710"/>
      <c r="J94" s="710"/>
      <c r="K94" s="710"/>
      <c r="L94" s="710"/>
      <c r="M94" s="710"/>
      <c r="N94" s="710"/>
      <c r="O94" s="710"/>
      <c r="P94" s="710"/>
      <c r="Q94" s="710"/>
      <c r="R94" s="710"/>
      <c r="S94" s="710"/>
      <c r="T94" s="710"/>
      <c r="U94" s="710"/>
    </row>
    <row r="95" spans="1:21">
      <c r="A95" s="746"/>
      <c r="B95" s="710"/>
      <c r="C95" s="710"/>
      <c r="D95" s="710"/>
      <c r="E95" s="710"/>
      <c r="F95" s="710"/>
      <c r="G95" s="710"/>
      <c r="H95" s="710"/>
      <c r="I95" s="710"/>
      <c r="J95" s="710"/>
      <c r="K95" s="710"/>
      <c r="L95" s="710"/>
      <c r="M95" s="710"/>
      <c r="N95" s="710"/>
      <c r="O95" s="710"/>
      <c r="P95" s="710"/>
      <c r="Q95" s="710"/>
      <c r="R95" s="710"/>
      <c r="S95" s="710"/>
      <c r="T95" s="710"/>
      <c r="U95" s="710"/>
    </row>
    <row r="96" spans="1:21">
      <c r="A96" s="746"/>
      <c r="B96" s="710"/>
      <c r="C96" s="710"/>
      <c r="D96" s="710"/>
      <c r="E96" s="710"/>
      <c r="F96" s="710"/>
      <c r="G96" s="710"/>
      <c r="H96" s="710"/>
      <c r="I96" s="710"/>
      <c r="J96" s="710"/>
      <c r="K96" s="710"/>
      <c r="L96" s="710"/>
      <c r="M96" s="710"/>
      <c r="N96" s="710"/>
      <c r="O96" s="710"/>
      <c r="P96" s="710"/>
      <c r="Q96" s="710"/>
      <c r="R96" s="710"/>
      <c r="S96" s="710"/>
      <c r="T96" s="710"/>
      <c r="U96" s="710"/>
    </row>
    <row r="97" spans="1:21">
      <c r="A97" s="746"/>
      <c r="B97" s="710"/>
      <c r="C97" s="710"/>
      <c r="D97" s="710"/>
      <c r="E97" s="710"/>
      <c r="F97" s="710"/>
      <c r="G97" s="710"/>
      <c r="H97" s="710"/>
      <c r="I97" s="710"/>
      <c r="J97" s="710"/>
      <c r="K97" s="710"/>
      <c r="L97" s="710"/>
      <c r="M97" s="710"/>
      <c r="N97" s="710"/>
      <c r="O97" s="710"/>
      <c r="P97" s="710"/>
      <c r="Q97" s="710"/>
      <c r="R97" s="710"/>
      <c r="S97" s="710"/>
      <c r="T97" s="710"/>
      <c r="U97" s="710"/>
    </row>
    <row r="98" spans="1:21">
      <c r="A98" s="746"/>
      <c r="B98" s="710"/>
      <c r="C98" s="710"/>
      <c r="D98" s="710"/>
      <c r="E98" s="710"/>
      <c r="F98" s="710"/>
      <c r="G98" s="710"/>
      <c r="H98" s="710"/>
      <c r="I98" s="710"/>
      <c r="J98" s="710"/>
      <c r="K98" s="710"/>
      <c r="L98" s="710"/>
      <c r="M98" s="710"/>
      <c r="N98" s="710"/>
      <c r="O98" s="710"/>
      <c r="P98" s="710"/>
      <c r="Q98" s="710"/>
      <c r="R98" s="710"/>
      <c r="S98" s="710"/>
      <c r="T98" s="710"/>
      <c r="U98" s="710"/>
    </row>
    <row r="99" spans="1:21">
      <c r="A99" s="746"/>
      <c r="B99" s="710"/>
      <c r="C99" s="710"/>
      <c r="D99" s="710"/>
      <c r="E99" s="710"/>
      <c r="F99" s="710"/>
      <c r="G99" s="710"/>
      <c r="H99" s="710"/>
      <c r="I99" s="710"/>
      <c r="J99" s="710"/>
      <c r="K99" s="710"/>
      <c r="L99" s="710"/>
      <c r="M99" s="710"/>
      <c r="N99" s="710"/>
      <c r="O99" s="710"/>
      <c r="P99" s="710"/>
      <c r="Q99" s="710"/>
      <c r="R99" s="710"/>
      <c r="S99" s="710"/>
      <c r="T99" s="710"/>
      <c r="U99" s="710"/>
    </row>
    <row r="100" spans="1:21">
      <c r="A100" s="746"/>
      <c r="B100" s="710"/>
      <c r="C100" s="710"/>
      <c r="D100" s="710"/>
      <c r="E100" s="710"/>
      <c r="F100" s="710"/>
      <c r="G100" s="710"/>
      <c r="H100" s="710"/>
      <c r="I100" s="710"/>
      <c r="J100" s="710"/>
      <c r="K100" s="710"/>
      <c r="L100" s="710"/>
      <c r="M100" s="710"/>
      <c r="N100" s="710"/>
      <c r="O100" s="710"/>
      <c r="P100" s="710"/>
      <c r="Q100" s="710"/>
      <c r="R100" s="710"/>
      <c r="S100" s="710"/>
      <c r="T100" s="710"/>
      <c r="U100" s="710"/>
    </row>
    <row r="101" spans="1:21">
      <c r="A101" s="746"/>
      <c r="B101" s="710"/>
      <c r="C101" s="710"/>
      <c r="D101" s="710"/>
      <c r="E101" s="710"/>
      <c r="F101" s="710"/>
      <c r="G101" s="710"/>
      <c r="H101" s="710"/>
      <c r="I101" s="710"/>
      <c r="J101" s="710"/>
      <c r="K101" s="710"/>
      <c r="L101" s="710"/>
      <c r="M101" s="710"/>
      <c r="N101" s="710"/>
      <c r="O101" s="710"/>
      <c r="P101" s="710"/>
      <c r="Q101" s="710"/>
      <c r="R101" s="710"/>
      <c r="S101" s="710"/>
      <c r="T101" s="710"/>
      <c r="U101" s="710"/>
    </row>
    <row r="102" spans="1:21">
      <c r="A102" s="746"/>
      <c r="B102" s="710"/>
      <c r="C102" s="710"/>
      <c r="D102" s="710"/>
      <c r="E102" s="710"/>
      <c r="F102" s="710"/>
      <c r="G102" s="710"/>
      <c r="H102" s="710"/>
      <c r="I102" s="710"/>
      <c r="J102" s="710"/>
      <c r="K102" s="710"/>
      <c r="L102" s="710"/>
      <c r="M102" s="710"/>
      <c r="N102" s="710"/>
      <c r="O102" s="710"/>
      <c r="P102" s="710"/>
      <c r="Q102" s="710"/>
      <c r="R102" s="710"/>
      <c r="S102" s="710"/>
      <c r="T102" s="710"/>
      <c r="U102" s="710"/>
    </row>
    <row r="103" spans="1:21">
      <c r="A103" s="746"/>
      <c r="B103" s="710"/>
      <c r="C103" s="710"/>
      <c r="D103" s="710"/>
      <c r="E103" s="710"/>
      <c r="F103" s="710"/>
      <c r="G103" s="710"/>
      <c r="H103" s="710"/>
      <c r="I103" s="710"/>
      <c r="J103" s="710"/>
      <c r="K103" s="710"/>
      <c r="L103" s="710"/>
      <c r="M103" s="710"/>
      <c r="N103" s="710"/>
      <c r="O103" s="710"/>
      <c r="P103" s="710"/>
      <c r="Q103" s="710"/>
      <c r="R103" s="710"/>
      <c r="S103" s="710"/>
      <c r="T103" s="710"/>
      <c r="U103" s="710"/>
    </row>
    <row r="104" spans="1:21">
      <c r="A104" s="746"/>
      <c r="B104" s="710"/>
      <c r="C104" s="710"/>
      <c r="D104" s="710"/>
      <c r="E104" s="710"/>
      <c r="F104" s="710"/>
      <c r="G104" s="710"/>
      <c r="H104" s="710"/>
      <c r="I104" s="710"/>
      <c r="J104" s="710"/>
      <c r="K104" s="710"/>
      <c r="L104" s="710"/>
      <c r="M104" s="710"/>
      <c r="N104" s="710"/>
      <c r="O104" s="710"/>
      <c r="P104" s="710"/>
      <c r="Q104" s="710"/>
      <c r="R104" s="710"/>
      <c r="S104" s="710"/>
      <c r="T104" s="710"/>
      <c r="U104" s="710"/>
    </row>
    <row r="105" spans="1:21">
      <c r="A105" s="746"/>
      <c r="B105" s="710"/>
      <c r="C105" s="710"/>
      <c r="D105" s="710"/>
      <c r="E105" s="710"/>
      <c r="F105" s="710"/>
      <c r="G105" s="710"/>
      <c r="H105" s="710"/>
      <c r="I105" s="710"/>
      <c r="J105" s="710"/>
      <c r="K105" s="710"/>
      <c r="L105" s="710"/>
      <c r="M105" s="710"/>
      <c r="N105" s="710"/>
      <c r="O105" s="710"/>
      <c r="P105" s="710"/>
      <c r="Q105" s="710"/>
      <c r="R105" s="710"/>
      <c r="S105" s="710"/>
      <c r="T105" s="710"/>
      <c r="U105" s="710"/>
    </row>
    <row r="106" spans="1:21">
      <c r="A106" s="746"/>
      <c r="B106" s="710"/>
      <c r="C106" s="710"/>
      <c r="D106" s="710"/>
      <c r="E106" s="710"/>
      <c r="F106" s="710"/>
      <c r="G106" s="710"/>
      <c r="H106" s="710"/>
      <c r="I106" s="710"/>
      <c r="J106" s="710"/>
      <c r="K106" s="710"/>
      <c r="L106" s="710"/>
      <c r="M106" s="710"/>
      <c r="N106" s="710"/>
      <c r="O106" s="710"/>
      <c r="P106" s="710"/>
      <c r="Q106" s="710"/>
      <c r="R106" s="710"/>
      <c r="S106" s="710"/>
      <c r="T106" s="710"/>
      <c r="U106" s="710"/>
    </row>
    <row r="107" spans="1:21">
      <c r="A107" s="746"/>
      <c r="B107" s="710"/>
      <c r="C107" s="710"/>
      <c r="D107" s="710"/>
      <c r="E107" s="710"/>
      <c r="F107" s="710"/>
      <c r="G107" s="710"/>
      <c r="H107" s="710"/>
      <c r="I107" s="710"/>
      <c r="J107" s="710"/>
      <c r="K107" s="710"/>
      <c r="L107" s="710"/>
      <c r="M107" s="710"/>
      <c r="N107" s="710"/>
      <c r="O107" s="710"/>
      <c r="P107" s="710"/>
      <c r="Q107" s="710"/>
      <c r="R107" s="710"/>
      <c r="S107" s="710"/>
      <c r="T107" s="710"/>
      <c r="U107" s="710"/>
    </row>
    <row r="108" spans="1:21">
      <c r="A108" s="746"/>
      <c r="B108" s="710"/>
      <c r="C108" s="710"/>
      <c r="D108" s="710"/>
      <c r="E108" s="710"/>
      <c r="F108" s="710"/>
      <c r="G108" s="710"/>
      <c r="H108" s="710"/>
      <c r="I108" s="710"/>
      <c r="J108" s="710"/>
      <c r="K108" s="710"/>
      <c r="L108" s="710"/>
      <c r="M108" s="710"/>
      <c r="N108" s="710"/>
      <c r="O108" s="710"/>
      <c r="P108" s="710"/>
      <c r="Q108" s="710"/>
      <c r="R108" s="710"/>
      <c r="S108" s="710"/>
      <c r="T108" s="710"/>
      <c r="U108" s="710"/>
    </row>
    <row r="109" spans="1:21">
      <c r="A109" s="746"/>
      <c r="B109" s="710"/>
      <c r="C109" s="710"/>
      <c r="D109" s="710"/>
      <c r="E109" s="710"/>
      <c r="F109" s="710"/>
      <c r="G109" s="710"/>
      <c r="H109" s="710"/>
      <c r="I109" s="710"/>
      <c r="J109" s="710"/>
      <c r="K109" s="710"/>
      <c r="L109" s="710"/>
      <c r="M109" s="710"/>
      <c r="N109" s="710"/>
      <c r="O109" s="710"/>
      <c r="P109" s="710"/>
      <c r="Q109" s="710"/>
      <c r="R109" s="710"/>
      <c r="S109" s="710"/>
      <c r="T109" s="710"/>
      <c r="U109" s="710"/>
    </row>
    <row r="110" spans="1:21">
      <c r="A110" s="746"/>
      <c r="B110" s="710"/>
      <c r="C110" s="710"/>
      <c r="D110" s="710"/>
      <c r="E110" s="710"/>
      <c r="F110" s="710"/>
      <c r="G110" s="710"/>
      <c r="H110" s="710"/>
      <c r="I110" s="710"/>
      <c r="J110" s="710"/>
      <c r="K110" s="710"/>
      <c r="L110" s="710"/>
      <c r="M110" s="710"/>
      <c r="N110" s="710"/>
      <c r="O110" s="710"/>
      <c r="P110" s="710"/>
      <c r="Q110" s="710"/>
      <c r="R110" s="710"/>
      <c r="S110" s="710"/>
      <c r="T110" s="710"/>
      <c r="U110" s="710"/>
    </row>
    <row r="111" spans="1:21">
      <c r="A111" s="746"/>
      <c r="B111" s="710"/>
      <c r="C111" s="710"/>
      <c r="D111" s="710"/>
      <c r="E111" s="710"/>
      <c r="F111" s="710"/>
      <c r="G111" s="710"/>
      <c r="H111" s="710"/>
      <c r="I111" s="710"/>
      <c r="J111" s="710"/>
      <c r="K111" s="710"/>
      <c r="L111" s="710"/>
      <c r="M111" s="710"/>
      <c r="N111" s="710"/>
      <c r="O111" s="710"/>
      <c r="P111" s="710"/>
      <c r="Q111" s="710"/>
      <c r="R111" s="710"/>
      <c r="S111" s="710"/>
      <c r="T111" s="710"/>
      <c r="U111" s="710"/>
    </row>
    <row r="112" spans="1:21">
      <c r="A112" s="746"/>
      <c r="B112" s="710"/>
      <c r="C112" s="710"/>
      <c r="D112" s="710"/>
      <c r="E112" s="710"/>
      <c r="F112" s="710"/>
      <c r="G112" s="710"/>
      <c r="H112" s="710"/>
      <c r="I112" s="710"/>
      <c r="J112" s="710"/>
      <c r="K112" s="710"/>
      <c r="L112" s="710"/>
      <c r="M112" s="710"/>
      <c r="N112" s="710"/>
      <c r="O112" s="710"/>
      <c r="P112" s="710"/>
      <c r="Q112" s="710"/>
      <c r="R112" s="710"/>
      <c r="S112" s="710"/>
      <c r="T112" s="710"/>
      <c r="U112" s="710"/>
    </row>
    <row r="113" spans="1:21">
      <c r="A113" s="746"/>
      <c r="B113" s="710"/>
      <c r="C113" s="710"/>
      <c r="D113" s="710"/>
      <c r="E113" s="710"/>
      <c r="F113" s="710"/>
      <c r="G113" s="710"/>
      <c r="H113" s="710"/>
      <c r="I113" s="710"/>
      <c r="J113" s="710"/>
      <c r="K113" s="710"/>
      <c r="L113" s="710"/>
      <c r="M113" s="710"/>
      <c r="N113" s="710"/>
      <c r="O113" s="710"/>
      <c r="P113" s="710"/>
      <c r="Q113" s="710"/>
      <c r="R113" s="710"/>
      <c r="S113" s="710"/>
      <c r="T113" s="710"/>
      <c r="U113" s="710"/>
    </row>
    <row r="114" spans="1:21">
      <c r="A114" s="746"/>
      <c r="B114" s="710"/>
      <c r="C114" s="710"/>
      <c r="D114" s="710"/>
      <c r="E114" s="710"/>
      <c r="F114" s="710"/>
      <c r="G114" s="710"/>
      <c r="H114" s="710"/>
      <c r="I114" s="710"/>
      <c r="J114" s="710"/>
      <c r="K114" s="710"/>
      <c r="L114" s="710"/>
      <c r="M114" s="710"/>
      <c r="N114" s="710"/>
      <c r="O114" s="710"/>
      <c r="P114" s="710"/>
      <c r="Q114" s="710"/>
      <c r="R114" s="710"/>
      <c r="S114" s="710"/>
      <c r="T114" s="710"/>
      <c r="U114" s="710"/>
    </row>
    <row r="115" spans="1:21">
      <c r="A115" s="746"/>
      <c r="B115" s="710"/>
      <c r="C115" s="710"/>
      <c r="D115" s="710"/>
      <c r="E115" s="710"/>
      <c r="F115" s="710"/>
      <c r="G115" s="710"/>
      <c r="H115" s="710"/>
      <c r="I115" s="710"/>
      <c r="J115" s="710"/>
      <c r="K115" s="710"/>
      <c r="L115" s="710"/>
      <c r="M115" s="710"/>
      <c r="N115" s="710"/>
      <c r="O115" s="710"/>
      <c r="P115" s="710"/>
      <c r="Q115" s="710"/>
      <c r="R115" s="710"/>
      <c r="S115" s="710"/>
      <c r="T115" s="710"/>
      <c r="U115" s="710"/>
    </row>
    <row r="116" spans="1:21">
      <c r="A116" s="746"/>
      <c r="B116" s="710"/>
      <c r="C116" s="710"/>
      <c r="D116" s="710"/>
      <c r="E116" s="710"/>
      <c r="F116" s="710"/>
      <c r="G116" s="710"/>
      <c r="H116" s="710"/>
      <c r="I116" s="710"/>
      <c r="J116" s="710"/>
      <c r="K116" s="710"/>
      <c r="L116" s="710"/>
      <c r="M116" s="710"/>
      <c r="N116" s="710"/>
      <c r="O116" s="710"/>
      <c r="P116" s="710"/>
      <c r="Q116" s="710"/>
      <c r="R116" s="710"/>
      <c r="S116" s="710"/>
      <c r="T116" s="710"/>
      <c r="U116" s="710"/>
    </row>
    <row r="117" spans="1:21">
      <c r="A117" s="746"/>
      <c r="B117" s="710"/>
      <c r="C117" s="710"/>
      <c r="D117" s="710"/>
      <c r="E117" s="710"/>
      <c r="F117" s="710"/>
      <c r="G117" s="710"/>
      <c r="H117" s="710"/>
      <c r="I117" s="710"/>
      <c r="J117" s="710"/>
      <c r="K117" s="710"/>
      <c r="L117" s="710"/>
      <c r="M117" s="710"/>
      <c r="N117" s="710"/>
      <c r="O117" s="710"/>
      <c r="P117" s="710"/>
      <c r="Q117" s="710"/>
      <c r="R117" s="710"/>
      <c r="S117" s="710"/>
      <c r="T117" s="710"/>
      <c r="U117" s="710"/>
    </row>
    <row r="118" spans="1:21">
      <c r="A118" s="746"/>
      <c r="B118" s="710"/>
      <c r="C118" s="710"/>
      <c r="D118" s="710"/>
      <c r="E118" s="710"/>
      <c r="F118" s="710"/>
      <c r="G118" s="710"/>
      <c r="H118" s="710"/>
      <c r="I118" s="710"/>
      <c r="J118" s="710"/>
      <c r="K118" s="710"/>
      <c r="L118" s="710"/>
      <c r="M118" s="710"/>
      <c r="N118" s="710"/>
      <c r="O118" s="710"/>
      <c r="P118" s="710"/>
      <c r="Q118" s="710"/>
      <c r="R118" s="710"/>
      <c r="S118" s="710"/>
      <c r="T118" s="710"/>
      <c r="U118" s="710"/>
    </row>
    <row r="119" spans="1:21">
      <c r="A119" s="746"/>
      <c r="B119" s="710"/>
      <c r="C119" s="710"/>
      <c r="D119" s="710"/>
      <c r="E119" s="710"/>
      <c r="F119" s="710"/>
      <c r="G119" s="710"/>
      <c r="H119" s="710"/>
      <c r="I119" s="710"/>
      <c r="J119" s="710"/>
      <c r="K119" s="710"/>
      <c r="L119" s="710"/>
      <c r="M119" s="710"/>
      <c r="N119" s="710"/>
      <c r="O119" s="710"/>
      <c r="P119" s="710"/>
      <c r="Q119" s="710"/>
      <c r="R119" s="710"/>
      <c r="S119" s="710"/>
      <c r="T119" s="710"/>
      <c r="U119" s="710"/>
    </row>
    <row r="120" spans="1:21">
      <c r="A120" s="746"/>
      <c r="B120" s="710"/>
      <c r="C120" s="710"/>
      <c r="D120" s="710"/>
      <c r="E120" s="710"/>
      <c r="F120" s="710"/>
      <c r="G120" s="710"/>
      <c r="H120" s="710"/>
      <c r="I120" s="710"/>
      <c r="J120" s="710"/>
      <c r="K120" s="710"/>
      <c r="L120" s="710"/>
      <c r="M120" s="710"/>
      <c r="N120" s="710"/>
      <c r="O120" s="710"/>
      <c r="P120" s="710"/>
      <c r="Q120" s="710"/>
      <c r="R120" s="710"/>
      <c r="S120" s="710"/>
      <c r="T120" s="710"/>
      <c r="U120" s="710"/>
    </row>
    <row r="121" spans="1:21">
      <c r="A121" s="746"/>
      <c r="B121" s="710"/>
      <c r="C121" s="710"/>
      <c r="D121" s="710"/>
      <c r="E121" s="710"/>
      <c r="F121" s="710"/>
      <c r="G121" s="710"/>
      <c r="H121" s="710"/>
      <c r="I121" s="710"/>
      <c r="J121" s="710"/>
      <c r="K121" s="710"/>
      <c r="L121" s="710"/>
      <c r="M121" s="710"/>
      <c r="N121" s="710"/>
      <c r="O121" s="710"/>
      <c r="P121" s="710"/>
      <c r="Q121" s="710"/>
      <c r="R121" s="710"/>
      <c r="S121" s="710"/>
      <c r="T121" s="710"/>
      <c r="U121" s="710"/>
    </row>
    <row r="122" spans="1:21">
      <c r="A122" s="746"/>
      <c r="B122" s="710"/>
      <c r="C122" s="710"/>
      <c r="D122" s="710"/>
      <c r="E122" s="710"/>
      <c r="F122" s="710"/>
      <c r="G122" s="710"/>
      <c r="H122" s="710"/>
      <c r="I122" s="710"/>
      <c r="J122" s="710"/>
      <c r="K122" s="710"/>
      <c r="L122" s="710"/>
      <c r="M122" s="710"/>
      <c r="N122" s="710"/>
      <c r="O122" s="710"/>
      <c r="P122" s="710"/>
      <c r="Q122" s="710"/>
      <c r="R122" s="710"/>
      <c r="S122" s="710"/>
      <c r="T122" s="710"/>
      <c r="U122" s="710"/>
    </row>
    <row r="123" spans="1:21">
      <c r="A123" s="746"/>
      <c r="B123" s="710"/>
      <c r="C123" s="710"/>
      <c r="D123" s="710"/>
      <c r="E123" s="710"/>
      <c r="F123" s="710"/>
      <c r="G123" s="710"/>
      <c r="H123" s="710"/>
      <c r="I123" s="710"/>
      <c r="J123" s="710"/>
      <c r="K123" s="710"/>
      <c r="L123" s="710"/>
      <c r="M123" s="710"/>
      <c r="N123" s="710"/>
      <c r="O123" s="710"/>
      <c r="P123" s="710"/>
      <c r="Q123" s="710"/>
      <c r="R123" s="710"/>
      <c r="S123" s="710"/>
      <c r="T123" s="710"/>
      <c r="U123" s="710"/>
    </row>
    <row r="124" spans="1:21">
      <c r="A124" s="746"/>
      <c r="B124" s="710"/>
      <c r="C124" s="710"/>
      <c r="D124" s="710"/>
      <c r="E124" s="710"/>
      <c r="F124" s="710"/>
      <c r="G124" s="710"/>
      <c r="H124" s="710"/>
      <c r="I124" s="710"/>
      <c r="J124" s="710"/>
      <c r="K124" s="710"/>
      <c r="L124" s="710"/>
      <c r="M124" s="710"/>
      <c r="N124" s="710"/>
      <c r="O124" s="710"/>
      <c r="P124" s="710"/>
      <c r="Q124" s="710"/>
      <c r="R124" s="710"/>
      <c r="S124" s="710"/>
      <c r="T124" s="710"/>
      <c r="U124" s="710"/>
    </row>
    <row r="125" spans="1:21">
      <c r="A125" s="746"/>
      <c r="B125" s="710"/>
      <c r="C125" s="710"/>
      <c r="D125" s="710"/>
      <c r="E125" s="710"/>
      <c r="F125" s="710"/>
      <c r="G125" s="710"/>
      <c r="H125" s="710"/>
      <c r="I125" s="710"/>
      <c r="J125" s="710"/>
      <c r="K125" s="710"/>
      <c r="L125" s="710"/>
      <c r="M125" s="710"/>
      <c r="N125" s="710"/>
      <c r="O125" s="710"/>
      <c r="P125" s="710"/>
      <c r="Q125" s="710"/>
      <c r="R125" s="710"/>
      <c r="S125" s="710"/>
      <c r="T125" s="710"/>
      <c r="U125" s="710"/>
    </row>
    <row r="126" spans="1:21">
      <c r="A126" s="746"/>
      <c r="B126" s="710"/>
      <c r="C126" s="710"/>
      <c r="D126" s="710"/>
      <c r="E126" s="710"/>
      <c r="F126" s="710"/>
      <c r="G126" s="710"/>
      <c r="H126" s="710"/>
      <c r="I126" s="710"/>
      <c r="J126" s="710"/>
      <c r="K126" s="710"/>
      <c r="L126" s="710"/>
      <c r="M126" s="710"/>
      <c r="N126" s="710"/>
      <c r="O126" s="710"/>
      <c r="P126" s="710"/>
      <c r="Q126" s="710"/>
      <c r="R126" s="710"/>
      <c r="S126" s="710"/>
      <c r="T126" s="710"/>
      <c r="U126" s="710"/>
    </row>
    <row r="127" spans="1:21">
      <c r="A127" s="746"/>
      <c r="B127" s="710"/>
      <c r="C127" s="710"/>
      <c r="D127" s="710"/>
      <c r="E127" s="710"/>
      <c r="F127" s="710"/>
      <c r="G127" s="710"/>
      <c r="H127" s="710"/>
      <c r="I127" s="710"/>
      <c r="J127" s="710"/>
      <c r="K127" s="710"/>
      <c r="L127" s="710"/>
      <c r="M127" s="710"/>
      <c r="N127" s="710"/>
      <c r="O127" s="710"/>
      <c r="P127" s="710"/>
      <c r="Q127" s="710"/>
      <c r="R127" s="710"/>
      <c r="S127" s="710"/>
      <c r="T127" s="710"/>
      <c r="U127" s="710"/>
    </row>
    <row r="128" spans="1:21">
      <c r="A128" s="746"/>
      <c r="B128" s="710"/>
      <c r="C128" s="710"/>
      <c r="D128" s="710"/>
      <c r="E128" s="710"/>
      <c r="F128" s="710"/>
      <c r="G128" s="710"/>
      <c r="H128" s="710"/>
      <c r="I128" s="710"/>
      <c r="J128" s="710"/>
      <c r="K128" s="710"/>
      <c r="L128" s="710"/>
      <c r="M128" s="710"/>
      <c r="N128" s="710"/>
      <c r="O128" s="710"/>
      <c r="P128" s="710"/>
      <c r="Q128" s="710"/>
      <c r="R128" s="710"/>
      <c r="S128" s="710"/>
      <c r="T128" s="710"/>
      <c r="U128" s="710"/>
    </row>
    <row r="129" spans="1:21">
      <c r="A129" s="746"/>
      <c r="B129" s="710"/>
      <c r="C129" s="710"/>
      <c r="D129" s="710"/>
      <c r="E129" s="710"/>
      <c r="F129" s="710"/>
      <c r="G129" s="710"/>
      <c r="H129" s="710"/>
      <c r="I129" s="710"/>
      <c r="J129" s="710"/>
      <c r="K129" s="710"/>
      <c r="L129" s="710"/>
      <c r="M129" s="710"/>
      <c r="N129" s="710"/>
      <c r="O129" s="710"/>
      <c r="P129" s="710"/>
      <c r="Q129" s="710"/>
      <c r="R129" s="710"/>
      <c r="S129" s="710"/>
      <c r="T129" s="710"/>
      <c r="U129" s="710"/>
    </row>
    <row r="130" spans="1:21">
      <c r="A130" s="746"/>
      <c r="B130" s="710"/>
      <c r="C130" s="710"/>
      <c r="D130" s="710"/>
      <c r="E130" s="710"/>
      <c r="F130" s="710"/>
      <c r="G130" s="710"/>
      <c r="H130" s="710"/>
      <c r="I130" s="710"/>
      <c r="J130" s="710"/>
      <c r="K130" s="710"/>
      <c r="L130" s="710"/>
      <c r="M130" s="710"/>
      <c r="N130" s="710"/>
      <c r="O130" s="710"/>
      <c r="P130" s="710"/>
      <c r="Q130" s="710"/>
      <c r="R130" s="710"/>
      <c r="S130" s="710"/>
      <c r="T130" s="710"/>
      <c r="U130" s="710"/>
    </row>
    <row r="131" spans="1:21">
      <c r="A131" s="746"/>
      <c r="B131" s="710"/>
      <c r="C131" s="710"/>
      <c r="D131" s="710"/>
      <c r="E131" s="710"/>
      <c r="F131" s="710"/>
      <c r="G131" s="710"/>
      <c r="H131" s="710"/>
      <c r="I131" s="710"/>
      <c r="J131" s="710"/>
      <c r="K131" s="710"/>
      <c r="L131" s="710"/>
      <c r="M131" s="710"/>
      <c r="N131" s="710"/>
      <c r="O131" s="710"/>
      <c r="P131" s="710"/>
      <c r="Q131" s="710"/>
      <c r="R131" s="710"/>
      <c r="S131" s="710"/>
      <c r="T131" s="710"/>
      <c r="U131" s="710"/>
    </row>
    <row r="132" spans="1:21">
      <c r="A132" s="746"/>
      <c r="B132" s="710"/>
      <c r="C132" s="710"/>
      <c r="D132" s="710"/>
      <c r="E132" s="710"/>
      <c r="F132" s="710"/>
      <c r="G132" s="710"/>
      <c r="H132" s="710"/>
      <c r="I132" s="710"/>
      <c r="J132" s="710"/>
      <c r="K132" s="710"/>
      <c r="L132" s="710"/>
      <c r="M132" s="710"/>
      <c r="N132" s="710"/>
      <c r="O132" s="710"/>
      <c r="P132" s="710"/>
      <c r="Q132" s="710"/>
      <c r="R132" s="710"/>
      <c r="S132" s="710"/>
      <c r="T132" s="710"/>
      <c r="U132" s="710"/>
    </row>
    <row r="133" spans="1:21">
      <c r="A133" s="746"/>
      <c r="B133" s="710"/>
      <c r="C133" s="710"/>
      <c r="D133" s="710"/>
      <c r="E133" s="710"/>
      <c r="F133" s="710"/>
      <c r="G133" s="710"/>
      <c r="H133" s="710"/>
      <c r="I133" s="710"/>
      <c r="J133" s="710"/>
      <c r="K133" s="710"/>
      <c r="L133" s="710"/>
      <c r="M133" s="710"/>
      <c r="N133" s="710"/>
      <c r="O133" s="710"/>
      <c r="P133" s="710"/>
      <c r="Q133" s="710"/>
      <c r="R133" s="710"/>
      <c r="S133" s="710"/>
      <c r="T133" s="710"/>
      <c r="U133" s="710"/>
    </row>
    <row r="134" spans="1:21">
      <c r="A134" s="746"/>
      <c r="B134" s="710"/>
      <c r="C134" s="710"/>
      <c r="D134" s="710"/>
      <c r="E134" s="710"/>
      <c r="F134" s="710"/>
      <c r="G134" s="710"/>
      <c r="H134" s="710"/>
      <c r="I134" s="710"/>
      <c r="J134" s="710"/>
      <c r="K134" s="710"/>
      <c r="L134" s="710"/>
      <c r="M134" s="710"/>
      <c r="N134" s="710"/>
      <c r="O134" s="710"/>
      <c r="P134" s="710"/>
      <c r="Q134" s="710"/>
      <c r="R134" s="710"/>
      <c r="S134" s="710"/>
      <c r="T134" s="710"/>
      <c r="U134" s="710"/>
    </row>
    <row r="135" spans="1:21">
      <c r="A135" s="746"/>
      <c r="B135" s="710"/>
      <c r="C135" s="710"/>
      <c r="D135" s="710"/>
      <c r="E135" s="710"/>
      <c r="F135" s="710"/>
      <c r="G135" s="710"/>
      <c r="H135" s="710"/>
      <c r="I135" s="710"/>
      <c r="J135" s="710"/>
      <c r="K135" s="710"/>
      <c r="L135" s="710"/>
      <c r="M135" s="710"/>
      <c r="N135" s="710"/>
      <c r="O135" s="710"/>
      <c r="P135" s="710"/>
      <c r="Q135" s="710"/>
      <c r="R135" s="710"/>
      <c r="S135" s="710"/>
      <c r="T135" s="710"/>
      <c r="U135" s="710"/>
    </row>
    <row r="136" spans="1:21">
      <c r="A136" s="746"/>
      <c r="B136" s="710"/>
      <c r="C136" s="710"/>
      <c r="D136" s="710"/>
      <c r="E136" s="710"/>
      <c r="F136" s="710"/>
      <c r="G136" s="710"/>
      <c r="H136" s="710"/>
      <c r="I136" s="710"/>
      <c r="J136" s="710"/>
      <c r="K136" s="710"/>
      <c r="L136" s="710"/>
      <c r="M136" s="710"/>
      <c r="N136" s="710"/>
      <c r="O136" s="710"/>
      <c r="P136" s="710"/>
      <c r="Q136" s="710"/>
      <c r="R136" s="710"/>
      <c r="S136" s="710"/>
      <c r="T136" s="710"/>
      <c r="U136" s="710"/>
    </row>
    <row r="137" spans="1:21">
      <c r="A137" s="746"/>
      <c r="B137" s="710"/>
      <c r="C137" s="710"/>
      <c r="D137" s="710"/>
      <c r="E137" s="710"/>
      <c r="F137" s="710"/>
      <c r="G137" s="710"/>
      <c r="H137" s="710"/>
      <c r="I137" s="710"/>
      <c r="J137" s="710"/>
      <c r="K137" s="710"/>
      <c r="L137" s="710"/>
      <c r="M137" s="710"/>
      <c r="N137" s="710"/>
      <c r="O137" s="710"/>
      <c r="P137" s="710"/>
      <c r="Q137" s="710"/>
      <c r="R137" s="710"/>
      <c r="S137" s="710"/>
      <c r="T137" s="710"/>
      <c r="U137" s="710"/>
    </row>
    <row r="138" spans="1:21">
      <c r="A138" s="746"/>
      <c r="B138" s="710"/>
      <c r="C138" s="710"/>
      <c r="D138" s="710"/>
      <c r="E138" s="710"/>
      <c r="F138" s="710"/>
      <c r="G138" s="710"/>
      <c r="H138" s="710"/>
      <c r="I138" s="710"/>
      <c r="J138" s="710"/>
      <c r="K138" s="710"/>
      <c r="L138" s="710"/>
      <c r="M138" s="710"/>
      <c r="N138" s="710"/>
      <c r="O138" s="710"/>
      <c r="P138" s="710"/>
      <c r="Q138" s="710"/>
      <c r="R138" s="710"/>
      <c r="S138" s="710"/>
      <c r="T138" s="710"/>
      <c r="U138" s="710"/>
    </row>
    <row r="139" spans="1:21">
      <c r="A139" s="746"/>
      <c r="B139" s="710"/>
      <c r="C139" s="710"/>
      <c r="D139" s="710"/>
      <c r="E139" s="710"/>
      <c r="F139" s="710"/>
      <c r="G139" s="710"/>
      <c r="H139" s="710"/>
      <c r="I139" s="710"/>
      <c r="J139" s="710"/>
      <c r="K139" s="710"/>
      <c r="L139" s="710"/>
      <c r="M139" s="710"/>
      <c r="N139" s="710"/>
      <c r="O139" s="710"/>
      <c r="P139" s="710"/>
      <c r="Q139" s="710"/>
      <c r="R139" s="710"/>
      <c r="S139" s="710"/>
      <c r="T139" s="710"/>
      <c r="U139" s="710"/>
    </row>
    <row r="140" spans="1:21">
      <c r="A140" s="746"/>
      <c r="B140" s="710"/>
      <c r="C140" s="710"/>
      <c r="D140" s="710"/>
      <c r="E140" s="710"/>
      <c r="F140" s="710"/>
      <c r="G140" s="710"/>
      <c r="H140" s="710"/>
      <c r="I140" s="710"/>
      <c r="J140" s="710"/>
      <c r="K140" s="710"/>
      <c r="L140" s="710"/>
      <c r="M140" s="710"/>
      <c r="N140" s="710"/>
      <c r="O140" s="710"/>
      <c r="P140" s="710"/>
      <c r="Q140" s="710"/>
      <c r="R140" s="710"/>
      <c r="S140" s="710"/>
      <c r="T140" s="710"/>
      <c r="U140" s="710"/>
    </row>
    <row r="141" spans="1:21">
      <c r="A141" s="746"/>
      <c r="B141" s="710"/>
      <c r="C141" s="710"/>
      <c r="D141" s="710"/>
      <c r="E141" s="710"/>
      <c r="F141" s="710"/>
      <c r="G141" s="710"/>
      <c r="H141" s="710"/>
      <c r="I141" s="710"/>
      <c r="J141" s="710"/>
      <c r="K141" s="710"/>
      <c r="L141" s="710"/>
      <c r="M141" s="710"/>
      <c r="N141" s="710"/>
      <c r="O141" s="710"/>
      <c r="P141" s="710"/>
      <c r="Q141" s="710"/>
      <c r="R141" s="710"/>
      <c r="S141" s="710"/>
      <c r="T141" s="710"/>
      <c r="U141" s="710"/>
    </row>
    <row r="142" spans="1:21">
      <c r="A142" s="746"/>
      <c r="B142" s="710"/>
      <c r="C142" s="710"/>
      <c r="D142" s="710"/>
      <c r="E142" s="710"/>
      <c r="F142" s="710"/>
      <c r="G142" s="710"/>
      <c r="H142" s="710"/>
      <c r="I142" s="710"/>
      <c r="J142" s="710"/>
      <c r="K142" s="710"/>
      <c r="L142" s="710"/>
      <c r="M142" s="710"/>
      <c r="N142" s="710"/>
      <c r="O142" s="710"/>
      <c r="P142" s="710"/>
      <c r="Q142" s="710"/>
      <c r="R142" s="710"/>
      <c r="S142" s="710"/>
      <c r="T142" s="710"/>
      <c r="U142" s="710"/>
    </row>
    <row r="143" spans="1:21">
      <c r="A143" s="746"/>
      <c r="B143" s="710"/>
      <c r="C143" s="710"/>
      <c r="D143" s="710"/>
      <c r="E143" s="710"/>
      <c r="F143" s="710"/>
      <c r="G143" s="710"/>
      <c r="H143" s="710"/>
      <c r="I143" s="710"/>
      <c r="J143" s="710"/>
      <c r="K143" s="710"/>
      <c r="L143" s="710"/>
      <c r="M143" s="710"/>
      <c r="N143" s="710"/>
      <c r="O143" s="710"/>
      <c r="P143" s="710"/>
      <c r="Q143" s="710"/>
      <c r="R143" s="710"/>
      <c r="S143" s="710"/>
      <c r="T143" s="710"/>
      <c r="U143" s="710"/>
    </row>
    <row r="144" spans="1:21">
      <c r="A144" s="746"/>
      <c r="B144" s="710"/>
      <c r="C144" s="710"/>
      <c r="D144" s="710"/>
      <c r="E144" s="710"/>
      <c r="F144" s="710"/>
      <c r="G144" s="710"/>
      <c r="H144" s="710"/>
      <c r="I144" s="710"/>
      <c r="J144" s="710"/>
      <c r="K144" s="710"/>
      <c r="L144" s="710"/>
      <c r="M144" s="710"/>
      <c r="N144" s="710"/>
      <c r="O144" s="710"/>
      <c r="P144" s="710"/>
      <c r="Q144" s="710"/>
      <c r="R144" s="710"/>
      <c r="S144" s="710"/>
      <c r="T144" s="710"/>
      <c r="U144" s="710"/>
    </row>
    <row r="145" spans="1:21">
      <c r="A145" s="746"/>
      <c r="B145" s="710"/>
      <c r="C145" s="710"/>
      <c r="D145" s="710"/>
      <c r="E145" s="710"/>
      <c r="F145" s="710"/>
      <c r="G145" s="710"/>
      <c r="H145" s="710"/>
      <c r="I145" s="710"/>
      <c r="J145" s="710"/>
      <c r="K145" s="710"/>
      <c r="L145" s="710"/>
      <c r="M145" s="710"/>
      <c r="N145" s="710"/>
      <c r="O145" s="710"/>
      <c r="P145" s="710"/>
      <c r="Q145" s="710"/>
      <c r="R145" s="710"/>
      <c r="S145" s="710"/>
      <c r="T145" s="710"/>
      <c r="U145" s="710"/>
    </row>
    <row r="146" spans="1:21">
      <c r="A146" s="746"/>
      <c r="B146" s="710"/>
      <c r="C146" s="710"/>
      <c r="D146" s="710"/>
      <c r="E146" s="710"/>
      <c r="F146" s="710"/>
      <c r="G146" s="710"/>
      <c r="H146" s="710"/>
      <c r="I146" s="710"/>
      <c r="J146" s="710"/>
      <c r="K146" s="710"/>
      <c r="L146" s="710"/>
      <c r="M146" s="710"/>
      <c r="N146" s="710"/>
      <c r="O146" s="710"/>
      <c r="P146" s="710"/>
      <c r="Q146" s="710"/>
      <c r="R146" s="710"/>
      <c r="S146" s="710"/>
      <c r="T146" s="710"/>
      <c r="U146" s="710"/>
    </row>
    <row r="147" spans="1:21">
      <c r="A147" s="746"/>
      <c r="B147" s="710"/>
      <c r="C147" s="710"/>
      <c r="D147" s="710"/>
      <c r="E147" s="710"/>
      <c r="F147" s="710"/>
      <c r="G147" s="710"/>
      <c r="H147" s="710"/>
      <c r="I147" s="710"/>
      <c r="J147" s="710"/>
      <c r="K147" s="710"/>
      <c r="L147" s="710"/>
      <c r="M147" s="710"/>
      <c r="N147" s="710"/>
      <c r="O147" s="710"/>
      <c r="P147" s="710"/>
      <c r="Q147" s="710"/>
      <c r="R147" s="710"/>
      <c r="S147" s="710"/>
      <c r="T147" s="710"/>
      <c r="U147" s="710"/>
    </row>
    <row r="148" spans="1:21">
      <c r="A148" s="746"/>
      <c r="B148" s="710"/>
      <c r="C148" s="710"/>
      <c r="D148" s="710"/>
      <c r="E148" s="710"/>
      <c r="F148" s="710"/>
      <c r="G148" s="710"/>
      <c r="H148" s="710"/>
      <c r="I148" s="710"/>
      <c r="J148" s="710"/>
      <c r="K148" s="710"/>
      <c r="L148" s="710"/>
      <c r="M148" s="710"/>
      <c r="N148" s="710"/>
      <c r="O148" s="710"/>
      <c r="P148" s="710"/>
      <c r="Q148" s="710"/>
      <c r="R148" s="710"/>
      <c r="S148" s="710"/>
      <c r="T148" s="710"/>
      <c r="U148" s="710"/>
    </row>
    <row r="149" spans="1:21">
      <c r="A149" s="746"/>
      <c r="B149" s="710"/>
      <c r="C149" s="710"/>
      <c r="D149" s="710"/>
      <c r="E149" s="710"/>
      <c r="F149" s="710"/>
      <c r="G149" s="710"/>
      <c r="H149" s="710"/>
      <c r="I149" s="710"/>
      <c r="J149" s="710"/>
      <c r="K149" s="710"/>
      <c r="L149" s="710"/>
      <c r="M149" s="710"/>
      <c r="N149" s="710"/>
      <c r="O149" s="710"/>
      <c r="P149" s="710"/>
      <c r="Q149" s="710"/>
      <c r="R149" s="710"/>
      <c r="S149" s="710"/>
      <c r="T149" s="710"/>
      <c r="U149" s="710"/>
    </row>
    <row r="150" spans="1:21">
      <c r="A150" s="746"/>
      <c r="B150" s="710"/>
      <c r="C150" s="710"/>
      <c r="D150" s="710"/>
      <c r="E150" s="710"/>
      <c r="F150" s="710"/>
      <c r="G150" s="710"/>
      <c r="H150" s="710"/>
      <c r="I150" s="710"/>
      <c r="J150" s="710"/>
      <c r="K150" s="710"/>
      <c r="L150" s="710"/>
      <c r="M150" s="710"/>
      <c r="N150" s="710"/>
      <c r="O150" s="710"/>
      <c r="P150" s="710"/>
      <c r="Q150" s="710"/>
      <c r="R150" s="710"/>
      <c r="S150" s="710"/>
      <c r="T150" s="710"/>
      <c r="U150" s="710"/>
    </row>
    <row r="151" spans="1:21">
      <c r="A151" s="746"/>
      <c r="B151" s="710"/>
      <c r="C151" s="710"/>
      <c r="D151" s="710"/>
      <c r="E151" s="710"/>
      <c r="F151" s="710"/>
      <c r="G151" s="710"/>
      <c r="H151" s="710"/>
      <c r="I151" s="710"/>
      <c r="J151" s="710"/>
      <c r="K151" s="710"/>
      <c r="L151" s="710"/>
      <c r="M151" s="710"/>
      <c r="N151" s="710"/>
      <c r="O151" s="710"/>
      <c r="P151" s="710"/>
      <c r="Q151" s="710"/>
      <c r="R151" s="710"/>
      <c r="S151" s="710"/>
      <c r="T151" s="710"/>
      <c r="U151" s="710"/>
    </row>
    <row r="152" spans="1:21">
      <c r="A152" s="746"/>
      <c r="B152" s="710"/>
      <c r="C152" s="710"/>
      <c r="D152" s="710"/>
      <c r="E152" s="710"/>
      <c r="F152" s="710"/>
      <c r="G152" s="710"/>
      <c r="H152" s="710"/>
      <c r="I152" s="710"/>
      <c r="J152" s="710"/>
      <c r="K152" s="710"/>
      <c r="L152" s="710"/>
      <c r="M152" s="710"/>
      <c r="N152" s="710"/>
      <c r="O152" s="710"/>
      <c r="P152" s="710"/>
      <c r="Q152" s="710"/>
      <c r="R152" s="710"/>
      <c r="S152" s="710"/>
      <c r="T152" s="710"/>
      <c r="U152" s="710"/>
    </row>
    <row r="153" spans="1:21">
      <c r="A153" s="746"/>
      <c r="B153" s="710"/>
      <c r="C153" s="710"/>
      <c r="D153" s="710"/>
      <c r="E153" s="710"/>
      <c r="F153" s="710"/>
      <c r="G153" s="710"/>
      <c r="H153" s="710"/>
      <c r="I153" s="710"/>
      <c r="J153" s="710"/>
      <c r="K153" s="710"/>
      <c r="L153" s="710"/>
      <c r="M153" s="710"/>
      <c r="N153" s="710"/>
      <c r="O153" s="710"/>
      <c r="P153" s="710"/>
      <c r="Q153" s="710"/>
      <c r="R153" s="710"/>
      <c r="S153" s="710"/>
      <c r="T153" s="710"/>
      <c r="U153" s="710"/>
    </row>
    <row r="154" spans="1:21">
      <c r="A154" s="746"/>
      <c r="B154" s="710"/>
      <c r="C154" s="710"/>
      <c r="D154" s="710"/>
      <c r="E154" s="710"/>
      <c r="F154" s="710"/>
      <c r="G154" s="710"/>
      <c r="H154" s="710"/>
      <c r="I154" s="710"/>
      <c r="J154" s="710"/>
      <c r="K154" s="710"/>
      <c r="L154" s="710"/>
      <c r="M154" s="710"/>
      <c r="N154" s="710"/>
      <c r="O154" s="710"/>
      <c r="P154" s="710"/>
      <c r="Q154" s="710"/>
      <c r="R154" s="710"/>
      <c r="S154" s="710"/>
      <c r="T154" s="710"/>
      <c r="U154" s="710"/>
    </row>
    <row r="155" spans="1:21">
      <c r="A155" s="746"/>
      <c r="B155" s="710"/>
      <c r="C155" s="710"/>
      <c r="D155" s="710"/>
      <c r="E155" s="710"/>
      <c r="F155" s="710"/>
      <c r="G155" s="710"/>
      <c r="H155" s="710"/>
      <c r="I155" s="710"/>
      <c r="J155" s="710"/>
      <c r="K155" s="710"/>
      <c r="L155" s="710"/>
      <c r="M155" s="710"/>
      <c r="N155" s="710"/>
      <c r="O155" s="710"/>
      <c r="P155" s="710"/>
      <c r="Q155" s="710"/>
      <c r="R155" s="710"/>
      <c r="S155" s="710"/>
      <c r="T155" s="710"/>
      <c r="U155" s="710"/>
    </row>
    <row r="156" spans="1:21">
      <c r="A156" s="746"/>
      <c r="B156" s="710"/>
      <c r="C156" s="710"/>
      <c r="D156" s="710"/>
      <c r="E156" s="710"/>
      <c r="F156" s="710"/>
      <c r="G156" s="710"/>
      <c r="H156" s="710"/>
      <c r="I156" s="710"/>
      <c r="J156" s="710"/>
      <c r="K156" s="710"/>
      <c r="L156" s="710"/>
      <c r="M156" s="710"/>
      <c r="N156" s="710"/>
      <c r="O156" s="710"/>
      <c r="P156" s="710"/>
      <c r="Q156" s="710"/>
      <c r="R156" s="710"/>
      <c r="S156" s="710"/>
      <c r="T156" s="710"/>
      <c r="U156" s="710"/>
    </row>
    <row r="157" spans="1:21">
      <c r="A157" s="746"/>
      <c r="B157" s="710"/>
      <c r="C157" s="710"/>
      <c r="D157" s="710"/>
      <c r="E157" s="710"/>
      <c r="F157" s="710"/>
      <c r="G157" s="710"/>
      <c r="H157" s="710"/>
      <c r="I157" s="710"/>
      <c r="J157" s="710"/>
      <c r="K157" s="710"/>
      <c r="L157" s="710"/>
      <c r="M157" s="710"/>
      <c r="N157" s="710"/>
      <c r="O157" s="710"/>
      <c r="P157" s="710"/>
      <c r="Q157" s="710"/>
      <c r="R157" s="710"/>
      <c r="S157" s="710"/>
      <c r="T157" s="710"/>
      <c r="U157" s="710"/>
    </row>
    <row r="158" spans="1:21">
      <c r="A158" s="746"/>
      <c r="B158" s="710"/>
      <c r="C158" s="710"/>
      <c r="D158" s="710"/>
      <c r="E158" s="710"/>
      <c r="F158" s="710"/>
      <c r="G158" s="710"/>
      <c r="H158" s="710"/>
      <c r="I158" s="710"/>
      <c r="J158" s="710"/>
      <c r="K158" s="710"/>
      <c r="L158" s="710"/>
      <c r="M158" s="710"/>
      <c r="N158" s="710"/>
      <c r="O158" s="710"/>
      <c r="P158" s="710"/>
      <c r="Q158" s="710"/>
      <c r="R158" s="710"/>
      <c r="S158" s="710"/>
      <c r="T158" s="710"/>
      <c r="U158" s="710"/>
    </row>
    <row r="159" spans="1:21">
      <c r="A159" s="746"/>
      <c r="B159" s="710"/>
      <c r="C159" s="710"/>
      <c r="D159" s="710"/>
      <c r="E159" s="710"/>
      <c r="F159" s="710"/>
      <c r="G159" s="710"/>
      <c r="H159" s="710"/>
      <c r="I159" s="710"/>
      <c r="J159" s="710"/>
      <c r="K159" s="710"/>
      <c r="L159" s="710"/>
      <c r="M159" s="710"/>
      <c r="N159" s="710"/>
      <c r="O159" s="710"/>
      <c r="P159" s="710"/>
      <c r="Q159" s="710"/>
      <c r="R159" s="710"/>
      <c r="S159" s="710"/>
      <c r="T159" s="710"/>
      <c r="U159" s="710"/>
    </row>
    <row r="160" spans="1:21">
      <c r="A160" s="746"/>
      <c r="B160" s="710"/>
      <c r="C160" s="710"/>
      <c r="D160" s="710"/>
      <c r="E160" s="710"/>
      <c r="F160" s="710"/>
      <c r="G160" s="710"/>
      <c r="H160" s="710"/>
      <c r="I160" s="710"/>
      <c r="J160" s="710"/>
      <c r="K160" s="710"/>
      <c r="L160" s="710"/>
      <c r="M160" s="710"/>
      <c r="N160" s="710"/>
      <c r="O160" s="710"/>
      <c r="P160" s="710"/>
      <c r="Q160" s="710"/>
      <c r="R160" s="710"/>
      <c r="S160" s="710"/>
      <c r="T160" s="710"/>
      <c r="U160" s="710"/>
    </row>
    <row r="161" spans="1:21">
      <c r="A161" s="746"/>
      <c r="B161" s="710"/>
      <c r="C161" s="710"/>
      <c r="D161" s="710"/>
      <c r="E161" s="710"/>
      <c r="F161" s="710"/>
      <c r="G161" s="710"/>
      <c r="H161" s="710"/>
      <c r="I161" s="710"/>
      <c r="J161" s="710"/>
      <c r="K161" s="710"/>
      <c r="L161" s="710"/>
      <c r="M161" s="710"/>
      <c r="N161" s="710"/>
      <c r="O161" s="710"/>
      <c r="P161" s="710"/>
      <c r="Q161" s="710"/>
      <c r="R161" s="710"/>
      <c r="S161" s="710"/>
      <c r="T161" s="710"/>
      <c r="U161" s="710"/>
    </row>
    <row r="162" spans="1:21">
      <c r="A162" s="746"/>
      <c r="B162" s="710"/>
      <c r="C162" s="710"/>
      <c r="D162" s="710"/>
      <c r="E162" s="710"/>
      <c r="F162" s="710"/>
      <c r="G162" s="710"/>
      <c r="H162" s="710"/>
      <c r="I162" s="710"/>
      <c r="J162" s="710"/>
      <c r="K162" s="710"/>
      <c r="L162" s="710"/>
      <c r="M162" s="710"/>
      <c r="N162" s="710"/>
      <c r="O162" s="710"/>
      <c r="P162" s="710"/>
      <c r="Q162" s="710"/>
      <c r="R162" s="710"/>
      <c r="S162" s="710"/>
      <c r="T162" s="710"/>
      <c r="U162" s="710"/>
    </row>
    <row r="163" spans="1:21">
      <c r="A163" s="746"/>
      <c r="B163" s="710"/>
      <c r="C163" s="710"/>
      <c r="D163" s="710"/>
      <c r="E163" s="710"/>
      <c r="F163" s="710"/>
      <c r="G163" s="710"/>
      <c r="H163" s="710"/>
      <c r="I163" s="710"/>
      <c r="J163" s="710"/>
      <c r="K163" s="710"/>
      <c r="L163" s="710"/>
      <c r="M163" s="710"/>
      <c r="N163" s="710"/>
      <c r="O163" s="710"/>
      <c r="P163" s="710"/>
      <c r="Q163" s="710"/>
      <c r="R163" s="710"/>
      <c r="S163" s="710"/>
      <c r="T163" s="710"/>
      <c r="U163" s="710"/>
    </row>
    <row r="164" spans="1:21">
      <c r="A164" s="746"/>
      <c r="B164" s="710"/>
      <c r="C164" s="710"/>
      <c r="D164" s="710"/>
      <c r="E164" s="710"/>
      <c r="F164" s="710"/>
      <c r="G164" s="710"/>
      <c r="H164" s="710"/>
      <c r="I164" s="710"/>
      <c r="J164" s="710"/>
      <c r="K164" s="710"/>
      <c r="L164" s="710"/>
      <c r="M164" s="710"/>
      <c r="N164" s="710"/>
      <c r="O164" s="710"/>
      <c r="P164" s="710"/>
      <c r="Q164" s="710"/>
      <c r="R164" s="710"/>
      <c r="S164" s="710"/>
      <c r="T164" s="710"/>
      <c r="U164" s="710"/>
    </row>
    <row r="165" spans="1:21">
      <c r="A165" s="746"/>
      <c r="B165" s="710"/>
      <c r="C165" s="710"/>
      <c r="D165" s="710"/>
      <c r="E165" s="710"/>
      <c r="F165" s="710"/>
      <c r="G165" s="710"/>
      <c r="H165" s="710"/>
      <c r="I165" s="710"/>
      <c r="J165" s="710"/>
      <c r="K165" s="710"/>
      <c r="L165" s="710"/>
      <c r="M165" s="710"/>
      <c r="N165" s="710"/>
      <c r="O165" s="710"/>
      <c r="P165" s="710"/>
      <c r="Q165" s="710"/>
      <c r="R165" s="710"/>
      <c r="S165" s="710"/>
      <c r="T165" s="710"/>
      <c r="U165" s="710"/>
    </row>
    <row r="166" spans="1:21">
      <c r="A166" s="746"/>
      <c r="B166" s="710"/>
      <c r="C166" s="710"/>
      <c r="D166" s="710"/>
      <c r="E166" s="710"/>
      <c r="F166" s="710"/>
      <c r="G166" s="710"/>
      <c r="H166" s="710"/>
      <c r="I166" s="710"/>
      <c r="J166" s="710"/>
      <c r="K166" s="710"/>
      <c r="L166" s="710"/>
      <c r="M166" s="710"/>
      <c r="N166" s="710"/>
      <c r="O166" s="710"/>
      <c r="P166" s="710"/>
      <c r="Q166" s="710"/>
      <c r="R166" s="710"/>
      <c r="S166" s="710"/>
      <c r="T166" s="710"/>
      <c r="U166" s="710"/>
    </row>
    <row r="167" spans="1:21">
      <c r="A167" s="746"/>
      <c r="B167" s="710"/>
      <c r="C167" s="710"/>
      <c r="D167" s="710"/>
      <c r="E167" s="710"/>
      <c r="F167" s="710"/>
      <c r="G167" s="710"/>
      <c r="H167" s="710"/>
      <c r="I167" s="710"/>
      <c r="J167" s="710"/>
      <c r="K167" s="710"/>
      <c r="L167" s="710"/>
      <c r="M167" s="710"/>
      <c r="N167" s="710"/>
      <c r="O167" s="710"/>
      <c r="P167" s="710"/>
      <c r="Q167" s="710"/>
      <c r="R167" s="710"/>
      <c r="S167" s="710"/>
      <c r="T167" s="710"/>
      <c r="U167" s="710"/>
    </row>
    <row r="168" spans="1:21">
      <c r="A168" s="746"/>
      <c r="B168" s="710"/>
      <c r="C168" s="710"/>
      <c r="D168" s="710"/>
      <c r="E168" s="710"/>
      <c r="F168" s="710"/>
      <c r="G168" s="710"/>
      <c r="H168" s="710"/>
      <c r="I168" s="710"/>
      <c r="J168" s="710"/>
      <c r="K168" s="710"/>
      <c r="L168" s="710"/>
      <c r="M168" s="710"/>
      <c r="N168" s="710"/>
      <c r="O168" s="710"/>
      <c r="P168" s="710"/>
      <c r="Q168" s="710"/>
      <c r="R168" s="710"/>
      <c r="S168" s="710"/>
      <c r="T168" s="710"/>
      <c r="U168" s="710"/>
    </row>
    <row r="169" spans="1:21">
      <c r="A169" s="746"/>
      <c r="B169" s="710"/>
      <c r="C169" s="710"/>
      <c r="D169" s="710"/>
      <c r="E169" s="710"/>
      <c r="F169" s="710"/>
      <c r="G169" s="710"/>
      <c r="H169" s="710"/>
      <c r="I169" s="710"/>
      <c r="J169" s="710"/>
      <c r="K169" s="710"/>
      <c r="L169" s="710"/>
      <c r="M169" s="710"/>
      <c r="N169" s="710"/>
      <c r="O169" s="710"/>
      <c r="P169" s="710"/>
      <c r="Q169" s="710"/>
      <c r="R169" s="710"/>
      <c r="S169" s="710"/>
      <c r="T169" s="710"/>
      <c r="U169" s="710"/>
    </row>
    <row r="170" spans="1:21">
      <c r="A170" s="746"/>
      <c r="B170" s="710"/>
      <c r="C170" s="710"/>
      <c r="D170" s="710"/>
      <c r="E170" s="710"/>
      <c r="F170" s="710"/>
      <c r="G170" s="710"/>
      <c r="H170" s="710"/>
      <c r="I170" s="710"/>
      <c r="J170" s="710"/>
      <c r="K170" s="710"/>
      <c r="L170" s="710"/>
      <c r="M170" s="710"/>
      <c r="N170" s="710"/>
      <c r="O170" s="710"/>
      <c r="P170" s="710"/>
      <c r="Q170" s="710"/>
      <c r="R170" s="710"/>
      <c r="S170" s="710"/>
      <c r="T170" s="710"/>
      <c r="U170" s="710"/>
    </row>
    <row r="171" spans="1:21">
      <c r="A171" s="746"/>
      <c r="B171" s="710"/>
      <c r="C171" s="710"/>
      <c r="D171" s="710"/>
      <c r="E171" s="710"/>
      <c r="F171" s="710"/>
      <c r="G171" s="710"/>
      <c r="H171" s="710"/>
      <c r="I171" s="710"/>
      <c r="J171" s="710"/>
      <c r="K171" s="710"/>
      <c r="L171" s="710"/>
      <c r="M171" s="710"/>
      <c r="N171" s="710"/>
      <c r="O171" s="710"/>
      <c r="P171" s="710"/>
      <c r="Q171" s="710"/>
      <c r="R171" s="710"/>
      <c r="S171" s="710"/>
      <c r="T171" s="710"/>
      <c r="U171" s="710"/>
    </row>
    <row r="172" spans="1:21">
      <c r="A172" s="746"/>
      <c r="B172" s="710"/>
      <c r="C172" s="710"/>
      <c r="D172" s="710"/>
      <c r="E172" s="710"/>
      <c r="F172" s="710"/>
      <c r="G172" s="710"/>
      <c r="H172" s="710"/>
      <c r="I172" s="710"/>
      <c r="J172" s="710"/>
      <c r="K172" s="710"/>
      <c r="L172" s="710"/>
      <c r="M172" s="710"/>
      <c r="N172" s="710"/>
      <c r="O172" s="710"/>
      <c r="P172" s="710"/>
      <c r="Q172" s="710"/>
      <c r="R172" s="710"/>
      <c r="S172" s="710"/>
      <c r="T172" s="710"/>
      <c r="U172" s="710"/>
    </row>
    <row r="173" spans="1:21">
      <c r="A173" s="746"/>
      <c r="B173" s="710"/>
      <c r="C173" s="710"/>
      <c r="D173" s="710"/>
      <c r="E173" s="710"/>
      <c r="F173" s="710"/>
      <c r="G173" s="710"/>
      <c r="H173" s="710"/>
      <c r="I173" s="710"/>
      <c r="J173" s="710"/>
      <c r="K173" s="710"/>
      <c r="L173" s="710"/>
      <c r="M173" s="710"/>
      <c r="N173" s="710"/>
      <c r="O173" s="710"/>
      <c r="P173" s="710"/>
      <c r="Q173" s="710"/>
      <c r="R173" s="710"/>
      <c r="S173" s="710"/>
      <c r="T173" s="710"/>
      <c r="U173" s="710"/>
    </row>
    <row r="174" spans="1:21">
      <c r="A174" s="746"/>
      <c r="B174" s="710"/>
      <c r="C174" s="710"/>
      <c r="D174" s="710"/>
      <c r="E174" s="710"/>
      <c r="F174" s="710"/>
      <c r="G174" s="710"/>
      <c r="H174" s="710"/>
      <c r="I174" s="710"/>
      <c r="J174" s="710"/>
      <c r="K174" s="710"/>
      <c r="L174" s="710"/>
      <c r="M174" s="710"/>
      <c r="N174" s="710"/>
      <c r="O174" s="710"/>
      <c r="P174" s="710"/>
      <c r="Q174" s="710"/>
      <c r="R174" s="710"/>
      <c r="S174" s="710"/>
      <c r="T174" s="710"/>
      <c r="U174" s="710"/>
    </row>
    <row r="175" spans="1:21">
      <c r="A175" s="746"/>
      <c r="B175" s="710"/>
      <c r="C175" s="710"/>
      <c r="D175" s="710"/>
      <c r="E175" s="710"/>
      <c r="F175" s="710"/>
      <c r="G175" s="710"/>
      <c r="H175" s="710"/>
      <c r="I175" s="710"/>
      <c r="J175" s="710"/>
      <c r="K175" s="710"/>
      <c r="L175" s="710"/>
      <c r="M175" s="710"/>
      <c r="N175" s="710"/>
      <c r="O175" s="710"/>
      <c r="P175" s="710"/>
      <c r="Q175" s="710"/>
      <c r="R175" s="710"/>
      <c r="S175" s="710"/>
      <c r="T175" s="710"/>
      <c r="U175" s="710"/>
    </row>
    <row r="176" spans="1:21">
      <c r="A176" s="746"/>
      <c r="B176" s="710"/>
      <c r="C176" s="710"/>
      <c r="D176" s="710"/>
      <c r="E176" s="710"/>
      <c r="F176" s="710"/>
      <c r="G176" s="710"/>
      <c r="H176" s="710"/>
      <c r="I176" s="710"/>
      <c r="J176" s="710"/>
      <c r="K176" s="710"/>
      <c r="L176" s="710"/>
      <c r="M176" s="710"/>
      <c r="N176" s="710"/>
      <c r="O176" s="710"/>
      <c r="P176" s="710"/>
      <c r="Q176" s="710"/>
      <c r="R176" s="710"/>
      <c r="S176" s="710"/>
      <c r="T176" s="710"/>
      <c r="U176" s="710"/>
    </row>
    <row r="177" spans="1:21">
      <c r="A177" s="746"/>
      <c r="B177" s="710"/>
      <c r="C177" s="710"/>
      <c r="D177" s="710"/>
      <c r="E177" s="710"/>
      <c r="F177" s="710"/>
      <c r="G177" s="710"/>
      <c r="H177" s="710"/>
      <c r="I177" s="710"/>
      <c r="J177" s="710"/>
      <c r="K177" s="710"/>
      <c r="L177" s="710"/>
      <c r="M177" s="710"/>
      <c r="N177" s="710"/>
      <c r="O177" s="710"/>
      <c r="P177" s="710"/>
      <c r="Q177" s="710"/>
      <c r="R177" s="710"/>
      <c r="S177" s="710"/>
      <c r="T177" s="710"/>
      <c r="U177" s="710"/>
    </row>
    <row r="178" spans="1:21">
      <c r="A178" s="746"/>
      <c r="B178" s="710"/>
      <c r="C178" s="710"/>
      <c r="D178" s="710"/>
      <c r="E178" s="710"/>
      <c r="F178" s="710"/>
      <c r="G178" s="710"/>
      <c r="H178" s="710"/>
      <c r="I178" s="710"/>
      <c r="J178" s="710"/>
      <c r="K178" s="710"/>
      <c r="L178" s="710"/>
      <c r="M178" s="710"/>
      <c r="N178" s="710"/>
      <c r="O178" s="710"/>
      <c r="P178" s="710"/>
      <c r="Q178" s="710"/>
      <c r="R178" s="710"/>
      <c r="S178" s="710"/>
      <c r="T178" s="710"/>
      <c r="U178" s="710"/>
    </row>
    <row r="179" spans="1:21">
      <c r="A179" s="746"/>
      <c r="B179" s="710"/>
      <c r="C179" s="710"/>
      <c r="D179" s="710"/>
      <c r="E179" s="710"/>
      <c r="F179" s="710"/>
      <c r="G179" s="710"/>
      <c r="H179" s="710"/>
      <c r="I179" s="710"/>
      <c r="J179" s="710"/>
      <c r="K179" s="710"/>
      <c r="L179" s="710"/>
      <c r="M179" s="710"/>
      <c r="N179" s="710"/>
      <c r="O179" s="710"/>
      <c r="P179" s="710"/>
      <c r="Q179" s="710"/>
      <c r="R179" s="710"/>
      <c r="S179" s="710"/>
      <c r="T179" s="710"/>
      <c r="U179" s="710"/>
    </row>
    <row r="180" spans="1:21">
      <c r="A180" s="746"/>
      <c r="B180" s="710"/>
      <c r="C180" s="710"/>
      <c r="D180" s="710"/>
      <c r="E180" s="710"/>
      <c r="F180" s="710"/>
      <c r="G180" s="710"/>
      <c r="H180" s="710"/>
      <c r="I180" s="710"/>
      <c r="J180" s="710"/>
      <c r="K180" s="710"/>
      <c r="L180" s="710"/>
      <c r="M180" s="710"/>
      <c r="N180" s="710"/>
      <c r="O180" s="710"/>
      <c r="P180" s="710"/>
      <c r="Q180" s="710"/>
      <c r="R180" s="710"/>
      <c r="S180" s="710"/>
      <c r="T180" s="710"/>
      <c r="U180" s="710"/>
    </row>
    <row r="181" spans="1:21">
      <c r="A181" s="746"/>
      <c r="B181" s="710"/>
      <c r="C181" s="710"/>
      <c r="D181" s="710"/>
      <c r="E181" s="710"/>
      <c r="F181" s="710"/>
      <c r="G181" s="710"/>
      <c r="H181" s="710"/>
      <c r="I181" s="710"/>
      <c r="J181" s="710"/>
      <c r="K181" s="710"/>
      <c r="L181" s="710"/>
      <c r="M181" s="710"/>
      <c r="N181" s="710"/>
      <c r="O181" s="710"/>
      <c r="P181" s="710"/>
      <c r="Q181" s="710"/>
      <c r="R181" s="710"/>
      <c r="S181" s="710"/>
      <c r="T181" s="710"/>
      <c r="U181" s="710"/>
    </row>
    <row r="182" spans="1:21">
      <c r="A182" s="746"/>
      <c r="B182" s="710"/>
      <c r="C182" s="710"/>
      <c r="D182" s="710"/>
      <c r="E182" s="710"/>
      <c r="F182" s="710"/>
      <c r="G182" s="710"/>
      <c r="H182" s="710"/>
      <c r="I182" s="710"/>
      <c r="J182" s="710"/>
      <c r="K182" s="710"/>
      <c r="L182" s="710"/>
      <c r="M182" s="710"/>
      <c r="N182" s="710"/>
      <c r="O182" s="710"/>
      <c r="P182" s="710"/>
      <c r="Q182" s="710"/>
      <c r="R182" s="710"/>
      <c r="S182" s="710"/>
      <c r="T182" s="710"/>
      <c r="U182" s="710"/>
    </row>
    <row r="183" spans="1:21">
      <c r="A183" s="746"/>
      <c r="B183" s="710"/>
      <c r="C183" s="710"/>
      <c r="D183" s="710"/>
      <c r="E183" s="710"/>
      <c r="F183" s="710"/>
      <c r="G183" s="710"/>
      <c r="H183" s="710"/>
      <c r="I183" s="710"/>
      <c r="J183" s="710"/>
      <c r="K183" s="710"/>
      <c r="L183" s="710"/>
      <c r="M183" s="710"/>
      <c r="N183" s="710"/>
      <c r="O183" s="710"/>
      <c r="P183" s="710"/>
      <c r="Q183" s="710"/>
      <c r="R183" s="710"/>
      <c r="S183" s="710"/>
      <c r="T183" s="710"/>
      <c r="U183" s="710"/>
    </row>
    <row r="184" spans="1:21">
      <c r="A184" s="746"/>
      <c r="B184" s="710"/>
      <c r="C184" s="710"/>
      <c r="D184" s="710"/>
      <c r="E184" s="710"/>
      <c r="F184" s="710"/>
      <c r="G184" s="710"/>
      <c r="H184" s="710"/>
      <c r="I184" s="710"/>
      <c r="J184" s="710"/>
      <c r="K184" s="710"/>
      <c r="L184" s="710"/>
      <c r="M184" s="710"/>
      <c r="N184" s="710"/>
      <c r="O184" s="710"/>
      <c r="P184" s="710"/>
      <c r="Q184" s="710"/>
      <c r="R184" s="710"/>
      <c r="S184" s="710"/>
      <c r="T184" s="710"/>
      <c r="U184" s="710"/>
    </row>
    <row r="185" spans="1:21">
      <c r="A185" s="746"/>
      <c r="B185" s="710"/>
      <c r="C185" s="710"/>
      <c r="D185" s="710"/>
      <c r="E185" s="710"/>
      <c r="F185" s="710"/>
      <c r="G185" s="710"/>
      <c r="H185" s="710"/>
      <c r="I185" s="710"/>
      <c r="J185" s="710"/>
      <c r="K185" s="710"/>
      <c r="L185" s="710"/>
      <c r="M185" s="710"/>
      <c r="N185" s="710"/>
      <c r="O185" s="710"/>
      <c r="P185" s="710"/>
      <c r="Q185" s="710"/>
      <c r="R185" s="710"/>
      <c r="S185" s="710"/>
      <c r="T185" s="710"/>
      <c r="U185" s="710"/>
    </row>
    <row r="186" spans="1:21">
      <c r="A186" s="746"/>
      <c r="B186" s="710"/>
      <c r="C186" s="710"/>
      <c r="D186" s="710"/>
      <c r="E186" s="710"/>
      <c r="F186" s="710"/>
      <c r="G186" s="710"/>
      <c r="H186" s="710"/>
      <c r="I186" s="710"/>
      <c r="J186" s="710"/>
      <c r="K186" s="710"/>
      <c r="L186" s="710"/>
      <c r="M186" s="710"/>
      <c r="N186" s="710"/>
      <c r="O186" s="710"/>
      <c r="P186" s="710"/>
      <c r="Q186" s="710"/>
      <c r="R186" s="710"/>
      <c r="S186" s="710"/>
      <c r="T186" s="710"/>
      <c r="U186" s="710"/>
    </row>
    <row r="187" spans="1:21">
      <c r="A187" s="746"/>
      <c r="B187" s="710"/>
      <c r="C187" s="710"/>
      <c r="D187" s="710"/>
      <c r="E187" s="710"/>
      <c r="F187" s="710"/>
      <c r="G187" s="710"/>
      <c r="H187" s="710"/>
      <c r="I187" s="710"/>
      <c r="J187" s="710"/>
      <c r="K187" s="710"/>
      <c r="L187" s="710"/>
      <c r="M187" s="710"/>
      <c r="N187" s="710"/>
      <c r="O187" s="710"/>
      <c r="P187" s="710"/>
      <c r="Q187" s="710"/>
      <c r="R187" s="710"/>
      <c r="S187" s="710"/>
      <c r="T187" s="710"/>
      <c r="U187" s="710"/>
    </row>
    <row r="188" spans="1:21">
      <c r="A188" s="746"/>
      <c r="B188" s="710"/>
      <c r="C188" s="710"/>
      <c r="D188" s="710"/>
      <c r="E188" s="710"/>
      <c r="F188" s="710"/>
      <c r="G188" s="710"/>
      <c r="H188" s="710"/>
      <c r="I188" s="710"/>
      <c r="J188" s="710"/>
      <c r="K188" s="710"/>
      <c r="L188" s="710"/>
      <c r="M188" s="710"/>
      <c r="N188" s="710"/>
      <c r="O188" s="710"/>
      <c r="P188" s="710"/>
      <c r="Q188" s="710"/>
      <c r="R188" s="710"/>
      <c r="S188" s="710"/>
      <c r="T188" s="710"/>
      <c r="U188" s="710"/>
    </row>
    <row r="189" spans="1:21">
      <c r="A189" s="746"/>
      <c r="B189" s="710"/>
      <c r="C189" s="710"/>
      <c r="D189" s="710"/>
      <c r="E189" s="710"/>
      <c r="F189" s="710"/>
      <c r="G189" s="710"/>
      <c r="H189" s="710"/>
      <c r="I189" s="710"/>
      <c r="J189" s="710"/>
      <c r="K189" s="710"/>
      <c r="L189" s="710"/>
      <c r="M189" s="710"/>
      <c r="N189" s="710"/>
      <c r="O189" s="710"/>
      <c r="P189" s="710"/>
      <c r="Q189" s="710"/>
      <c r="R189" s="710"/>
      <c r="S189" s="710"/>
      <c r="T189" s="710"/>
      <c r="U189" s="710"/>
    </row>
    <row r="190" spans="1:21">
      <c r="A190" s="746"/>
      <c r="B190" s="710"/>
      <c r="C190" s="710"/>
      <c r="D190" s="710"/>
      <c r="E190" s="710"/>
      <c r="F190" s="710"/>
      <c r="G190" s="710"/>
      <c r="H190" s="710"/>
      <c r="I190" s="710"/>
      <c r="J190" s="710"/>
      <c r="K190" s="710"/>
      <c r="L190" s="710"/>
      <c r="M190" s="710"/>
      <c r="N190" s="710"/>
      <c r="O190" s="710"/>
      <c r="P190" s="710"/>
      <c r="Q190" s="710"/>
      <c r="R190" s="710"/>
      <c r="S190" s="710"/>
      <c r="T190" s="710"/>
      <c r="U190" s="710"/>
    </row>
    <row r="191" spans="1:21">
      <c r="A191" s="746"/>
      <c r="B191" s="710"/>
      <c r="C191" s="710"/>
      <c r="D191" s="710"/>
      <c r="E191" s="710"/>
      <c r="F191" s="710"/>
      <c r="G191" s="710"/>
      <c r="H191" s="710"/>
      <c r="I191" s="710"/>
      <c r="J191" s="710"/>
      <c r="K191" s="710"/>
      <c r="L191" s="710"/>
      <c r="M191" s="710"/>
      <c r="N191" s="710"/>
      <c r="O191" s="710"/>
      <c r="P191" s="710"/>
      <c r="Q191" s="710"/>
      <c r="R191" s="710"/>
      <c r="S191" s="710"/>
      <c r="T191" s="710"/>
      <c r="U191" s="710"/>
    </row>
    <row r="192" spans="1:21">
      <c r="A192" s="746"/>
      <c r="B192" s="710"/>
      <c r="C192" s="710"/>
      <c r="D192" s="710"/>
      <c r="E192" s="710"/>
      <c r="F192" s="710"/>
      <c r="G192" s="710"/>
      <c r="H192" s="710"/>
      <c r="I192" s="710"/>
      <c r="J192" s="710"/>
      <c r="K192" s="710"/>
      <c r="L192" s="710"/>
      <c r="M192" s="710"/>
      <c r="N192" s="710"/>
      <c r="O192" s="710"/>
      <c r="P192" s="710"/>
      <c r="Q192" s="710"/>
      <c r="R192" s="710"/>
      <c r="S192" s="710"/>
      <c r="T192" s="710"/>
      <c r="U192" s="710"/>
    </row>
    <row r="193" spans="1:21">
      <c r="A193" s="746"/>
      <c r="B193" s="710"/>
      <c r="C193" s="710"/>
      <c r="D193" s="710"/>
      <c r="E193" s="710"/>
      <c r="F193" s="710"/>
      <c r="G193" s="710"/>
      <c r="H193" s="710"/>
      <c r="I193" s="710"/>
      <c r="J193" s="710"/>
      <c r="K193" s="710"/>
      <c r="L193" s="710"/>
      <c r="M193" s="710"/>
      <c r="N193" s="710"/>
      <c r="O193" s="710"/>
      <c r="P193" s="710"/>
      <c r="Q193" s="710"/>
      <c r="R193" s="710"/>
      <c r="S193" s="710"/>
      <c r="T193" s="710"/>
      <c r="U193" s="710"/>
    </row>
    <row r="194" spans="1:21">
      <c r="A194" s="746"/>
      <c r="B194" s="710"/>
      <c r="C194" s="710"/>
      <c r="D194" s="710"/>
      <c r="E194" s="710"/>
      <c r="F194" s="710"/>
      <c r="G194" s="710"/>
      <c r="H194" s="710"/>
      <c r="I194" s="710"/>
      <c r="J194" s="710"/>
      <c r="K194" s="710"/>
      <c r="L194" s="710"/>
      <c r="M194" s="710"/>
      <c r="N194" s="710"/>
      <c r="O194" s="710"/>
      <c r="P194" s="710"/>
      <c r="Q194" s="710"/>
      <c r="R194" s="710"/>
      <c r="S194" s="710"/>
      <c r="T194" s="710"/>
      <c r="U194" s="710"/>
    </row>
    <row r="195" spans="1:21">
      <c r="A195" s="746"/>
      <c r="B195" s="710"/>
      <c r="C195" s="710"/>
      <c r="D195" s="710"/>
      <c r="E195" s="710"/>
      <c r="F195" s="710"/>
      <c r="G195" s="710"/>
      <c r="H195" s="710"/>
      <c r="I195" s="710"/>
      <c r="J195" s="710"/>
      <c r="K195" s="710"/>
      <c r="L195" s="710"/>
      <c r="M195" s="710"/>
      <c r="N195" s="710"/>
      <c r="O195" s="710"/>
      <c r="P195" s="710"/>
      <c r="Q195" s="710"/>
      <c r="R195" s="710"/>
      <c r="S195" s="710"/>
      <c r="T195" s="710"/>
      <c r="U195" s="710"/>
    </row>
    <row r="196" spans="1:21">
      <c r="A196" s="746"/>
      <c r="B196" s="710"/>
      <c r="C196" s="710"/>
      <c r="D196" s="710"/>
      <c r="E196" s="710"/>
      <c r="F196" s="710"/>
      <c r="G196" s="710"/>
      <c r="H196" s="710"/>
      <c r="I196" s="710"/>
      <c r="J196" s="710"/>
      <c r="K196" s="710"/>
      <c r="L196" s="710"/>
      <c r="M196" s="710"/>
      <c r="N196" s="710"/>
      <c r="O196" s="710"/>
      <c r="P196" s="710"/>
      <c r="Q196" s="710"/>
      <c r="R196" s="710"/>
      <c r="S196" s="710"/>
      <c r="T196" s="710"/>
      <c r="U196" s="710"/>
    </row>
    <row r="197" spans="1:21">
      <c r="A197" s="746"/>
      <c r="B197" s="710"/>
      <c r="C197" s="710"/>
      <c r="D197" s="710"/>
      <c r="E197" s="710"/>
      <c r="F197" s="710"/>
      <c r="G197" s="710"/>
      <c r="H197" s="710"/>
      <c r="I197" s="710"/>
      <c r="J197" s="710"/>
      <c r="K197" s="710"/>
      <c r="L197" s="710"/>
      <c r="M197" s="710"/>
      <c r="N197" s="710"/>
      <c r="O197" s="710"/>
      <c r="P197" s="710"/>
      <c r="Q197" s="710"/>
      <c r="R197" s="710"/>
      <c r="S197" s="710"/>
      <c r="T197" s="710"/>
      <c r="U197" s="710"/>
    </row>
    <row r="198" spans="1:21">
      <c r="A198" s="746"/>
      <c r="B198" s="710"/>
      <c r="C198" s="710"/>
      <c r="D198" s="710"/>
      <c r="E198" s="710"/>
      <c r="F198" s="710"/>
      <c r="G198" s="710"/>
      <c r="H198" s="710"/>
      <c r="I198" s="710"/>
      <c r="J198" s="710"/>
      <c r="K198" s="710"/>
      <c r="L198" s="710"/>
      <c r="M198" s="710"/>
      <c r="N198" s="710"/>
      <c r="O198" s="710"/>
      <c r="P198" s="710"/>
      <c r="Q198" s="710"/>
      <c r="R198" s="710"/>
      <c r="S198" s="710"/>
      <c r="T198" s="710"/>
      <c r="U198" s="710"/>
    </row>
    <row r="199" spans="1:21">
      <c r="A199" s="746"/>
      <c r="B199" s="710"/>
      <c r="C199" s="710"/>
      <c r="D199" s="710"/>
      <c r="E199" s="710"/>
      <c r="F199" s="710"/>
      <c r="G199" s="710"/>
      <c r="H199" s="710"/>
      <c r="I199" s="710"/>
      <c r="J199" s="710"/>
      <c r="K199" s="710"/>
      <c r="L199" s="710"/>
      <c r="M199" s="710"/>
      <c r="N199" s="710"/>
      <c r="O199" s="710"/>
      <c r="P199" s="710"/>
      <c r="Q199" s="710"/>
      <c r="R199" s="710"/>
      <c r="S199" s="710"/>
      <c r="T199" s="710"/>
      <c r="U199" s="710"/>
    </row>
    <row r="200" spans="1:21">
      <c r="A200" s="746"/>
      <c r="B200" s="710"/>
      <c r="C200" s="710"/>
      <c r="D200" s="710"/>
      <c r="E200" s="710"/>
      <c r="F200" s="710"/>
      <c r="G200" s="710"/>
      <c r="H200" s="710"/>
      <c r="I200" s="710"/>
      <c r="J200" s="710"/>
      <c r="K200" s="710"/>
      <c r="L200" s="710"/>
      <c r="M200" s="710"/>
      <c r="N200" s="710"/>
      <c r="O200" s="710"/>
      <c r="P200" s="710"/>
      <c r="Q200" s="710"/>
      <c r="R200" s="710"/>
      <c r="S200" s="710"/>
      <c r="T200" s="710"/>
      <c r="U200" s="710"/>
    </row>
    <row r="201" spans="1:21">
      <c r="A201" s="746"/>
      <c r="B201" s="710"/>
      <c r="C201" s="710"/>
      <c r="D201" s="710"/>
      <c r="E201" s="710"/>
      <c r="F201" s="710"/>
      <c r="G201" s="710"/>
      <c r="H201" s="710"/>
      <c r="I201" s="710"/>
      <c r="J201" s="710"/>
      <c r="K201" s="710"/>
      <c r="L201" s="710"/>
      <c r="M201" s="710"/>
      <c r="N201" s="710"/>
      <c r="O201" s="710"/>
      <c r="P201" s="710"/>
      <c r="Q201" s="710"/>
      <c r="R201" s="710"/>
      <c r="S201" s="710"/>
      <c r="T201" s="710"/>
      <c r="U201" s="710"/>
    </row>
  </sheetData>
  <mergeCells count="24">
    <mergeCell ref="C22:G22"/>
    <mergeCell ref="K19:N20"/>
    <mergeCell ref="A1:J1"/>
    <mergeCell ref="A3:J3"/>
    <mergeCell ref="A17:J17"/>
    <mergeCell ref="C19:G19"/>
    <mergeCell ref="C20:G20"/>
    <mergeCell ref="C21:G21"/>
    <mergeCell ref="C23:G23"/>
    <mergeCell ref="C24:G24"/>
    <mergeCell ref="C25:G25"/>
    <mergeCell ref="A38:J38"/>
    <mergeCell ref="A39:J39"/>
    <mergeCell ref="A45:J45"/>
    <mergeCell ref="A46:J46"/>
    <mergeCell ref="K45:O46"/>
    <mergeCell ref="D28:F28"/>
    <mergeCell ref="B31:D31"/>
    <mergeCell ref="F31:I31"/>
    <mergeCell ref="B30:C30"/>
    <mergeCell ref="F30:G30"/>
    <mergeCell ref="A41:J41"/>
    <mergeCell ref="A40:J40"/>
    <mergeCell ref="A42:J43"/>
  </mergeCells>
  <phoneticPr fontId="4" type="noConversion"/>
  <printOptions horizontalCentered="1"/>
  <pageMargins left="0.5" right="0.5" top="0.65" bottom="0.6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9"/>
  <dimension ref="A1:Q100"/>
  <sheetViews>
    <sheetView zoomScaleNormal="100" workbookViewId="0">
      <selection activeCell="C5" sqref="C5"/>
    </sheetView>
  </sheetViews>
  <sheetFormatPr defaultRowHeight="12.75"/>
  <cols>
    <col min="1" max="1" width="10" style="24" bestFit="1" customWidth="1"/>
    <col min="2" max="2" width="48.140625" style="25" bestFit="1" customWidth="1"/>
    <col min="3" max="3" width="12.5703125" style="24" bestFit="1" customWidth="1"/>
    <col min="4" max="4" width="8.42578125" style="24" bestFit="1" customWidth="1"/>
    <col min="6" max="6" width="10" bestFit="1" customWidth="1"/>
  </cols>
  <sheetData>
    <row r="1" spans="1:17" ht="15.75">
      <c r="A1" s="661" t="str">
        <f>'1-Cover'!A1</f>
        <v>Project Name</v>
      </c>
      <c r="B1" s="728"/>
      <c r="C1" s="867" t="s">
        <v>794</v>
      </c>
      <c r="D1" s="867"/>
      <c r="E1" s="710"/>
      <c r="F1" s="710"/>
      <c r="G1" s="710"/>
      <c r="H1" s="710"/>
      <c r="I1" s="710"/>
      <c r="J1" s="710"/>
      <c r="K1" s="710"/>
      <c r="L1" s="710"/>
      <c r="M1" s="710"/>
      <c r="N1" s="710"/>
      <c r="O1" s="710"/>
      <c r="P1" s="710"/>
      <c r="Q1" s="710"/>
    </row>
    <row r="2" spans="1:17" ht="15.75">
      <c r="A2" s="707" t="s">
        <v>879</v>
      </c>
      <c r="B2" s="728"/>
      <c r="C2" s="867"/>
      <c r="D2" s="867"/>
      <c r="E2" s="710"/>
      <c r="F2" s="710"/>
      <c r="G2" s="710"/>
      <c r="H2" s="710"/>
      <c r="I2" s="710"/>
      <c r="J2" s="710"/>
      <c r="K2" s="710"/>
      <c r="L2" s="710"/>
      <c r="M2" s="710"/>
      <c r="N2" s="710"/>
      <c r="O2" s="710"/>
      <c r="P2" s="710"/>
      <c r="Q2" s="710"/>
    </row>
    <row r="3" spans="1:17" ht="16.5" thickBot="1">
      <c r="A3" s="744"/>
      <c r="B3" s="728"/>
      <c r="C3" s="712"/>
      <c r="D3" s="712"/>
      <c r="E3" s="710"/>
      <c r="F3" s="710"/>
      <c r="G3" s="710"/>
      <c r="H3" s="710"/>
      <c r="I3" s="710"/>
      <c r="J3" s="710"/>
      <c r="K3" s="710"/>
      <c r="L3" s="710"/>
      <c r="M3" s="710"/>
      <c r="N3" s="710"/>
      <c r="O3" s="710"/>
      <c r="P3" s="710"/>
      <c r="Q3" s="710"/>
    </row>
    <row r="4" spans="1:17" ht="13.5" thickBot="1">
      <c r="A4" s="305" t="s">
        <v>197</v>
      </c>
      <c r="B4" s="306" t="s">
        <v>194</v>
      </c>
      <c r="C4" s="512" t="s">
        <v>193</v>
      </c>
      <c r="D4" s="712"/>
      <c r="E4" s="710"/>
      <c r="F4" s="710"/>
      <c r="G4" s="710"/>
      <c r="H4" s="710"/>
      <c r="I4" s="710"/>
      <c r="J4" s="710"/>
      <c r="K4" s="710"/>
      <c r="L4" s="710"/>
      <c r="M4" s="710"/>
      <c r="N4" s="710"/>
      <c r="O4" s="710"/>
      <c r="P4" s="710"/>
      <c r="Q4" s="710"/>
    </row>
    <row r="5" spans="1:17" ht="15.75">
      <c r="A5" s="514" t="s">
        <v>876</v>
      </c>
      <c r="B5" s="304" t="s">
        <v>873</v>
      </c>
      <c r="C5" s="212">
        <v>1.5</v>
      </c>
      <c r="D5" s="712"/>
      <c r="E5" s="710"/>
      <c r="F5" s="710"/>
      <c r="G5" s="710"/>
      <c r="H5" s="710"/>
      <c r="I5" s="710"/>
      <c r="J5" s="710"/>
      <c r="K5" s="710"/>
      <c r="L5" s="710"/>
      <c r="M5" s="710"/>
      <c r="N5" s="710"/>
      <c r="O5" s="710"/>
      <c r="P5" s="710"/>
      <c r="Q5" s="710"/>
    </row>
    <row r="6" spans="1:17" ht="15.75">
      <c r="A6" s="513" t="s">
        <v>877</v>
      </c>
      <c r="B6" s="83" t="s">
        <v>874</v>
      </c>
      <c r="C6" s="213">
        <v>2</v>
      </c>
      <c r="D6" s="712"/>
      <c r="E6" s="710"/>
      <c r="F6" s="710"/>
      <c r="G6" s="710"/>
      <c r="H6" s="710"/>
      <c r="I6" s="710"/>
      <c r="J6" s="710"/>
      <c r="K6" s="710"/>
      <c r="L6" s="710"/>
      <c r="M6" s="710"/>
      <c r="N6" s="710"/>
      <c r="O6" s="710"/>
      <c r="P6" s="710"/>
      <c r="Q6" s="710"/>
    </row>
    <row r="7" spans="1:17" ht="16.5" thickBot="1">
      <c r="A7" s="511" t="s">
        <v>878</v>
      </c>
      <c r="B7" s="310" t="s">
        <v>875</v>
      </c>
      <c r="C7" s="214">
        <v>2</v>
      </c>
      <c r="D7" s="712"/>
      <c r="E7" s="710"/>
      <c r="F7" s="710"/>
      <c r="G7" s="710"/>
      <c r="H7" s="710"/>
      <c r="I7" s="710"/>
      <c r="J7" s="710"/>
      <c r="K7" s="710"/>
      <c r="L7" s="710"/>
      <c r="M7" s="710"/>
      <c r="N7" s="710"/>
      <c r="O7" s="710"/>
      <c r="P7" s="710"/>
      <c r="Q7" s="710"/>
    </row>
    <row r="8" spans="1:17" ht="13.5" thickBot="1">
      <c r="A8" s="712"/>
      <c r="B8" s="720"/>
      <c r="C8" s="723"/>
      <c r="D8" s="712"/>
      <c r="E8" s="710"/>
      <c r="F8" s="710"/>
      <c r="G8" s="710"/>
      <c r="H8" s="710"/>
      <c r="I8" s="710"/>
      <c r="J8" s="710"/>
      <c r="K8" s="710"/>
      <c r="L8" s="710"/>
      <c r="M8" s="710"/>
      <c r="N8" s="710"/>
      <c r="O8" s="710"/>
      <c r="P8" s="710"/>
      <c r="Q8" s="710"/>
    </row>
    <row r="9" spans="1:17" ht="13.5" thickBot="1">
      <c r="A9" s="305" t="s">
        <v>197</v>
      </c>
      <c r="B9" s="306" t="s">
        <v>194</v>
      </c>
      <c r="C9" s="306" t="s">
        <v>336</v>
      </c>
      <c r="D9" s="311" t="s">
        <v>193</v>
      </c>
      <c r="E9" s="710"/>
      <c r="F9" s="710"/>
      <c r="G9" s="710"/>
      <c r="H9" s="710"/>
      <c r="I9" s="710"/>
      <c r="J9" s="710"/>
      <c r="K9" s="710"/>
      <c r="L9" s="710"/>
      <c r="M9" s="710"/>
      <c r="N9" s="710"/>
      <c r="O9" s="710"/>
      <c r="P9" s="710"/>
      <c r="Q9" s="710"/>
    </row>
    <row r="10" spans="1:17" ht="15.75">
      <c r="A10" s="307" t="s">
        <v>904</v>
      </c>
      <c r="B10" s="304" t="s">
        <v>905</v>
      </c>
      <c r="C10" s="14" t="s">
        <v>210</v>
      </c>
      <c r="D10" s="300">
        <v>0.17</v>
      </c>
      <c r="E10" s="710"/>
      <c r="F10" s="710"/>
      <c r="G10" s="710"/>
      <c r="H10" s="710"/>
      <c r="I10" s="710"/>
      <c r="J10" s="710"/>
      <c r="K10" s="710"/>
      <c r="L10" s="710"/>
      <c r="M10" s="710"/>
      <c r="N10" s="710"/>
      <c r="O10" s="710"/>
      <c r="P10" s="710"/>
      <c r="Q10" s="710"/>
    </row>
    <row r="11" spans="1:17" ht="15.75">
      <c r="A11" s="307" t="s">
        <v>1024</v>
      </c>
      <c r="B11" s="304" t="s">
        <v>1025</v>
      </c>
      <c r="C11" s="14" t="s">
        <v>210</v>
      </c>
      <c r="D11" s="539">
        <v>0.85</v>
      </c>
      <c r="E11" s="710"/>
      <c r="F11" s="710"/>
      <c r="G11" s="710"/>
      <c r="H11" s="710"/>
      <c r="I11" s="710"/>
      <c r="J11" s="710"/>
      <c r="K11" s="710"/>
      <c r="L11" s="710"/>
      <c r="M11" s="710"/>
      <c r="N11" s="710"/>
      <c r="O11" s="710"/>
      <c r="P11" s="710"/>
      <c r="Q11" s="710"/>
    </row>
    <row r="12" spans="1:17" ht="14.25">
      <c r="A12" s="307" t="s">
        <v>198</v>
      </c>
      <c r="B12" s="304" t="s">
        <v>201</v>
      </c>
      <c r="C12" s="14" t="s">
        <v>200</v>
      </c>
      <c r="D12" s="539">
        <v>32.173999999999999</v>
      </c>
      <c r="E12" s="710"/>
      <c r="F12" s="710"/>
      <c r="G12" s="710"/>
      <c r="H12" s="710"/>
      <c r="I12" s="710"/>
      <c r="J12" s="710"/>
      <c r="K12" s="710"/>
      <c r="L12" s="710"/>
      <c r="M12" s="710"/>
      <c r="N12" s="710"/>
      <c r="O12" s="710"/>
      <c r="P12" s="710"/>
      <c r="Q12" s="710"/>
    </row>
    <row r="13" spans="1:17" ht="15.75">
      <c r="A13" s="88" t="s">
        <v>627</v>
      </c>
      <c r="B13" s="83" t="s">
        <v>630</v>
      </c>
      <c r="C13" s="12" t="s">
        <v>210</v>
      </c>
      <c r="D13" s="301">
        <v>3</v>
      </c>
      <c r="E13" s="710"/>
      <c r="F13" s="710"/>
      <c r="G13" s="710"/>
      <c r="H13" s="710"/>
      <c r="I13" s="710"/>
      <c r="J13" s="710"/>
      <c r="K13" s="710"/>
      <c r="L13" s="710"/>
      <c r="M13" s="710"/>
      <c r="N13" s="710"/>
      <c r="O13" s="710"/>
      <c r="P13" s="710"/>
      <c r="Q13" s="710"/>
    </row>
    <row r="14" spans="1:17" ht="15.75">
      <c r="A14" s="88" t="s">
        <v>628</v>
      </c>
      <c r="B14" s="83" t="s">
        <v>631</v>
      </c>
      <c r="C14" s="12" t="s">
        <v>210</v>
      </c>
      <c r="D14" s="301">
        <v>1.5</v>
      </c>
      <c r="E14" s="710"/>
      <c r="F14" s="710"/>
      <c r="G14" s="710"/>
      <c r="H14" s="710"/>
      <c r="I14" s="710"/>
      <c r="J14" s="710"/>
      <c r="K14" s="710"/>
      <c r="L14" s="710"/>
      <c r="M14" s="710"/>
      <c r="N14" s="710"/>
      <c r="O14" s="710"/>
      <c r="P14" s="710"/>
      <c r="Q14" s="710"/>
    </row>
    <row r="15" spans="1:17" ht="15.75">
      <c r="A15" s="88" t="s">
        <v>1053</v>
      </c>
      <c r="B15" s="83" t="s">
        <v>443</v>
      </c>
      <c r="C15" s="12" t="s">
        <v>210</v>
      </c>
      <c r="D15" s="301">
        <v>2.65</v>
      </c>
      <c r="E15" s="710"/>
      <c r="F15" s="710"/>
      <c r="G15" s="710"/>
      <c r="H15" s="710"/>
      <c r="I15" s="710"/>
      <c r="J15" s="710"/>
      <c r="K15" s="710"/>
      <c r="L15" s="710"/>
      <c r="M15" s="710"/>
      <c r="N15" s="710"/>
      <c r="O15" s="710"/>
      <c r="P15" s="710"/>
      <c r="Q15" s="710"/>
    </row>
    <row r="16" spans="1:17" ht="15.75">
      <c r="A16" s="88" t="s">
        <v>220</v>
      </c>
      <c r="B16" s="83" t="s">
        <v>444</v>
      </c>
      <c r="C16" s="12" t="s">
        <v>13</v>
      </c>
      <c r="D16" s="302">
        <v>165</v>
      </c>
      <c r="E16" s="710"/>
      <c r="F16" s="710"/>
      <c r="G16" s="710"/>
      <c r="H16" s="710"/>
      <c r="I16" s="710"/>
      <c r="J16" s="710"/>
      <c r="K16" s="710"/>
      <c r="L16" s="710"/>
      <c r="M16" s="710"/>
      <c r="N16" s="710"/>
      <c r="O16" s="710"/>
      <c r="P16" s="710"/>
      <c r="Q16" s="710"/>
    </row>
    <row r="17" spans="1:17" ht="15.75">
      <c r="A17" s="88" t="s">
        <v>199</v>
      </c>
      <c r="B17" s="83" t="s">
        <v>202</v>
      </c>
      <c r="C17" s="12" t="s">
        <v>13</v>
      </c>
      <c r="D17" s="301">
        <v>62.4</v>
      </c>
      <c r="E17" s="710"/>
      <c r="F17" s="710"/>
      <c r="G17" s="710"/>
      <c r="H17" s="710"/>
      <c r="I17" s="710"/>
      <c r="J17" s="710"/>
      <c r="K17" s="710"/>
      <c r="L17" s="710"/>
      <c r="M17" s="710"/>
      <c r="N17" s="710"/>
      <c r="O17" s="710"/>
      <c r="P17" s="710"/>
      <c r="Q17" s="710"/>
    </row>
    <row r="18" spans="1:17">
      <c r="A18" s="308" t="s">
        <v>229</v>
      </c>
      <c r="B18" s="83" t="s">
        <v>230</v>
      </c>
      <c r="C18" s="12" t="s">
        <v>210</v>
      </c>
      <c r="D18" s="301">
        <v>0.2</v>
      </c>
      <c r="E18" s="710"/>
      <c r="F18" s="710"/>
      <c r="G18" s="710"/>
      <c r="H18" s="710"/>
      <c r="I18" s="710"/>
      <c r="J18" s="710"/>
      <c r="K18" s="710"/>
      <c r="L18" s="710"/>
      <c r="M18" s="710"/>
      <c r="N18" s="710"/>
      <c r="O18" s="710"/>
      <c r="P18" s="710"/>
      <c r="Q18" s="710"/>
    </row>
    <row r="19" spans="1:17" ht="15" thickBot="1">
      <c r="A19" s="309" t="s">
        <v>462</v>
      </c>
      <c r="B19" s="310" t="s">
        <v>463</v>
      </c>
      <c r="C19" s="13" t="s">
        <v>200</v>
      </c>
      <c r="D19" s="303">
        <v>1.4100000000000001E-5</v>
      </c>
      <c r="E19" s="710"/>
      <c r="F19" s="710"/>
      <c r="G19" s="710"/>
      <c r="H19" s="710"/>
      <c r="I19" s="710"/>
      <c r="J19" s="710"/>
      <c r="K19" s="710"/>
      <c r="L19" s="710"/>
      <c r="M19" s="710"/>
      <c r="N19" s="710"/>
      <c r="O19" s="710"/>
      <c r="P19" s="710"/>
      <c r="Q19" s="710"/>
    </row>
    <row r="20" spans="1:17">
      <c r="A20" s="712"/>
      <c r="B20" s="720"/>
      <c r="C20" s="723"/>
      <c r="D20" s="712"/>
      <c r="E20" s="710"/>
      <c r="F20" s="710"/>
      <c r="G20" s="710"/>
      <c r="H20" s="710"/>
      <c r="I20" s="710"/>
      <c r="J20" s="710"/>
      <c r="K20" s="710"/>
      <c r="L20" s="710"/>
      <c r="M20" s="710"/>
      <c r="N20" s="710"/>
      <c r="O20" s="710"/>
      <c r="P20" s="710"/>
      <c r="Q20" s="710"/>
    </row>
    <row r="21" spans="1:17">
      <c r="A21" s="712"/>
      <c r="B21" s="720"/>
      <c r="C21" s="723"/>
      <c r="D21" s="712"/>
      <c r="E21" s="710"/>
      <c r="F21" s="710"/>
      <c r="G21" s="710"/>
      <c r="H21" s="710"/>
      <c r="I21" s="710"/>
      <c r="J21" s="710"/>
      <c r="K21" s="710"/>
      <c r="L21" s="710"/>
      <c r="M21" s="710"/>
      <c r="N21" s="710"/>
      <c r="O21" s="710"/>
      <c r="P21" s="710"/>
      <c r="Q21" s="710"/>
    </row>
    <row r="22" spans="1:17">
      <c r="A22" s="712"/>
      <c r="B22" s="720"/>
      <c r="C22" s="723"/>
      <c r="D22" s="712"/>
      <c r="E22" s="710"/>
      <c r="F22" s="710"/>
      <c r="G22" s="710"/>
      <c r="H22" s="710"/>
      <c r="I22" s="710"/>
      <c r="J22" s="710"/>
      <c r="K22" s="710"/>
      <c r="L22" s="710"/>
      <c r="M22" s="710"/>
      <c r="N22" s="710"/>
      <c r="O22" s="710"/>
      <c r="P22" s="710"/>
      <c r="Q22" s="710"/>
    </row>
    <row r="23" spans="1:17">
      <c r="A23" s="712"/>
      <c r="B23" s="720"/>
      <c r="C23" s="723"/>
      <c r="D23" s="712"/>
      <c r="E23" s="710"/>
      <c r="F23" s="710"/>
      <c r="G23" s="710"/>
      <c r="H23" s="710"/>
      <c r="I23" s="710"/>
      <c r="J23" s="710"/>
      <c r="K23" s="710"/>
      <c r="L23" s="710"/>
      <c r="M23" s="710"/>
      <c r="N23" s="710"/>
      <c r="O23" s="710"/>
      <c r="P23" s="710"/>
      <c r="Q23" s="710"/>
    </row>
    <row r="24" spans="1:17">
      <c r="A24" s="712"/>
      <c r="B24" s="720"/>
      <c r="C24" s="723"/>
      <c r="D24" s="712"/>
      <c r="E24" s="710"/>
      <c r="F24" s="710"/>
      <c r="G24" s="710"/>
      <c r="H24" s="710"/>
      <c r="I24" s="710"/>
      <c r="J24" s="710"/>
      <c r="K24" s="710"/>
      <c r="L24" s="710"/>
      <c r="M24" s="710"/>
      <c r="N24" s="710"/>
      <c r="O24" s="710"/>
      <c r="P24" s="710"/>
      <c r="Q24" s="710"/>
    </row>
    <row r="25" spans="1:17">
      <c r="A25" s="712"/>
      <c r="B25" s="720"/>
      <c r="C25" s="723"/>
      <c r="D25" s="712"/>
      <c r="E25" s="710"/>
      <c r="F25" s="710"/>
      <c r="G25" s="710"/>
      <c r="H25" s="710"/>
      <c r="I25" s="710"/>
      <c r="J25" s="710"/>
      <c r="K25" s="710"/>
      <c r="L25" s="710"/>
      <c r="M25" s="710"/>
      <c r="N25" s="710"/>
      <c r="O25" s="710"/>
      <c r="P25" s="710"/>
      <c r="Q25" s="710"/>
    </row>
    <row r="26" spans="1:17">
      <c r="A26" s="712"/>
      <c r="B26" s="720"/>
      <c r="C26" s="723"/>
      <c r="D26" s="712"/>
      <c r="E26" s="710"/>
      <c r="F26" s="710"/>
      <c r="G26" s="710"/>
      <c r="H26" s="710"/>
      <c r="I26" s="710"/>
      <c r="J26" s="710"/>
      <c r="K26" s="710"/>
      <c r="L26" s="710"/>
      <c r="M26" s="710"/>
      <c r="N26" s="710"/>
      <c r="O26" s="710"/>
      <c r="P26" s="710"/>
      <c r="Q26" s="710"/>
    </row>
    <row r="27" spans="1:17">
      <c r="A27" s="712"/>
      <c r="B27" s="720"/>
      <c r="C27" s="723"/>
      <c r="D27" s="712"/>
      <c r="E27" s="710"/>
      <c r="F27" s="710"/>
      <c r="G27" s="710"/>
      <c r="H27" s="710"/>
      <c r="I27" s="710"/>
      <c r="J27" s="710"/>
      <c r="K27" s="710"/>
      <c r="L27" s="710"/>
      <c r="M27" s="710"/>
      <c r="N27" s="710"/>
      <c r="O27" s="710"/>
      <c r="P27" s="710"/>
      <c r="Q27" s="710"/>
    </row>
    <row r="28" spans="1:17">
      <c r="A28" s="712"/>
      <c r="B28" s="720"/>
      <c r="C28" s="723"/>
      <c r="D28" s="712"/>
      <c r="E28" s="710"/>
      <c r="F28" s="710"/>
      <c r="G28" s="710"/>
      <c r="H28" s="710"/>
      <c r="I28" s="710"/>
      <c r="J28" s="710"/>
      <c r="K28" s="710"/>
      <c r="L28" s="710"/>
      <c r="M28" s="710"/>
      <c r="N28" s="710"/>
      <c r="O28" s="710"/>
      <c r="P28" s="710"/>
      <c r="Q28" s="710"/>
    </row>
    <row r="29" spans="1:17">
      <c r="A29" s="712"/>
      <c r="B29" s="720"/>
      <c r="C29" s="723"/>
      <c r="D29" s="712"/>
      <c r="E29" s="710"/>
      <c r="F29" s="710"/>
      <c r="G29" s="710"/>
      <c r="H29" s="710"/>
      <c r="I29" s="710"/>
      <c r="J29" s="710"/>
      <c r="K29" s="710"/>
      <c r="L29" s="710"/>
      <c r="M29" s="710"/>
      <c r="N29" s="710"/>
      <c r="O29" s="710"/>
      <c r="P29" s="710"/>
      <c r="Q29" s="710"/>
    </row>
    <row r="30" spans="1:17">
      <c r="A30" s="712"/>
      <c r="B30" s="720"/>
      <c r="C30" s="723"/>
      <c r="D30" s="712"/>
      <c r="E30" s="710"/>
      <c r="F30" s="710"/>
      <c r="G30" s="710"/>
      <c r="H30" s="710"/>
      <c r="I30" s="710"/>
      <c r="J30" s="710"/>
      <c r="K30" s="710"/>
      <c r="L30" s="710"/>
      <c r="M30" s="710"/>
      <c r="N30" s="710"/>
      <c r="O30" s="710"/>
      <c r="P30" s="710"/>
      <c r="Q30" s="710"/>
    </row>
    <row r="31" spans="1:17">
      <c r="A31" s="712"/>
      <c r="B31" s="720"/>
      <c r="C31" s="723"/>
      <c r="D31" s="712"/>
      <c r="E31" s="710"/>
      <c r="F31" s="710"/>
      <c r="G31" s="710"/>
      <c r="H31" s="710"/>
      <c r="I31" s="710"/>
      <c r="J31" s="710"/>
      <c r="K31" s="710"/>
      <c r="L31" s="710"/>
      <c r="M31" s="710"/>
      <c r="N31" s="710"/>
      <c r="O31" s="710"/>
      <c r="P31" s="710"/>
      <c r="Q31" s="710"/>
    </row>
    <row r="32" spans="1:17">
      <c r="A32" s="712"/>
      <c r="B32" s="720"/>
      <c r="C32" s="723"/>
      <c r="D32" s="712"/>
      <c r="E32" s="710"/>
      <c r="F32" s="710"/>
      <c r="G32" s="710"/>
      <c r="H32" s="710"/>
      <c r="I32" s="710"/>
      <c r="J32" s="710"/>
      <c r="K32" s="710"/>
      <c r="L32" s="710"/>
      <c r="M32" s="710"/>
      <c r="N32" s="710"/>
      <c r="O32" s="710"/>
      <c r="P32" s="710"/>
      <c r="Q32" s="710"/>
    </row>
    <row r="33" spans="1:17">
      <c r="A33" s="712"/>
      <c r="B33" s="720"/>
      <c r="C33" s="723"/>
      <c r="D33" s="712"/>
      <c r="E33" s="710"/>
      <c r="F33" s="710"/>
      <c r="G33" s="710"/>
      <c r="H33" s="710"/>
      <c r="I33" s="710"/>
      <c r="J33" s="710"/>
      <c r="K33" s="710"/>
      <c r="L33" s="710"/>
      <c r="M33" s="710"/>
      <c r="N33" s="710"/>
      <c r="O33" s="710"/>
      <c r="P33" s="710"/>
      <c r="Q33" s="710"/>
    </row>
    <row r="34" spans="1:17">
      <c r="A34" s="712"/>
      <c r="B34" s="720"/>
      <c r="C34" s="723"/>
      <c r="D34" s="712"/>
      <c r="E34" s="710"/>
      <c r="F34" s="710"/>
      <c r="G34" s="710"/>
      <c r="H34" s="710"/>
      <c r="I34" s="710"/>
      <c r="J34" s="710"/>
      <c r="K34" s="710"/>
      <c r="L34" s="710"/>
      <c r="M34" s="710"/>
      <c r="N34" s="710"/>
      <c r="O34" s="710"/>
      <c r="P34" s="710"/>
      <c r="Q34" s="710"/>
    </row>
    <row r="35" spans="1:17">
      <c r="A35" s="712"/>
      <c r="B35" s="720"/>
      <c r="C35" s="723"/>
      <c r="D35" s="712"/>
      <c r="E35" s="710"/>
      <c r="F35" s="710"/>
      <c r="G35" s="710"/>
      <c r="H35" s="710"/>
      <c r="I35" s="710"/>
      <c r="J35" s="710"/>
      <c r="K35" s="710"/>
      <c r="L35" s="710"/>
      <c r="M35" s="710"/>
      <c r="N35" s="710"/>
      <c r="O35" s="710"/>
      <c r="P35" s="710"/>
      <c r="Q35" s="710"/>
    </row>
    <row r="36" spans="1:17">
      <c r="A36" s="712"/>
      <c r="B36" s="720"/>
      <c r="C36" s="723"/>
      <c r="D36" s="712"/>
      <c r="E36" s="710"/>
      <c r="F36" s="710"/>
      <c r="G36" s="710"/>
      <c r="H36" s="710"/>
      <c r="I36" s="710"/>
      <c r="J36" s="710"/>
      <c r="K36" s="710"/>
      <c r="L36" s="710"/>
      <c r="M36" s="710"/>
      <c r="N36" s="710"/>
      <c r="O36" s="710"/>
      <c r="P36" s="710"/>
      <c r="Q36" s="710"/>
    </row>
    <row r="37" spans="1:17">
      <c r="A37" s="712"/>
      <c r="B37" s="720"/>
      <c r="C37" s="723"/>
      <c r="D37" s="712"/>
      <c r="E37" s="710"/>
      <c r="F37" s="710"/>
      <c r="G37" s="710"/>
      <c r="H37" s="710"/>
      <c r="I37" s="710"/>
      <c r="J37" s="710"/>
      <c r="K37" s="710"/>
      <c r="L37" s="710"/>
      <c r="M37" s="710"/>
      <c r="N37" s="710"/>
      <c r="O37" s="710"/>
      <c r="P37" s="710"/>
      <c r="Q37" s="710"/>
    </row>
    <row r="38" spans="1:17">
      <c r="A38" s="712"/>
      <c r="B38" s="720"/>
      <c r="C38" s="723"/>
      <c r="D38" s="712"/>
      <c r="E38" s="710"/>
      <c r="F38" s="710"/>
      <c r="G38" s="710"/>
      <c r="H38" s="710"/>
      <c r="I38" s="710"/>
      <c r="J38" s="710"/>
      <c r="K38" s="710"/>
      <c r="L38" s="710"/>
      <c r="M38" s="710"/>
      <c r="N38" s="710"/>
      <c r="O38" s="710"/>
      <c r="P38" s="710"/>
      <c r="Q38" s="710"/>
    </row>
    <row r="39" spans="1:17">
      <c r="A39" s="712"/>
      <c r="B39" s="728"/>
      <c r="C39" s="712"/>
      <c r="D39" s="712"/>
      <c r="E39" s="710"/>
      <c r="F39" s="710"/>
      <c r="G39" s="710"/>
      <c r="H39" s="710"/>
      <c r="I39" s="710"/>
      <c r="J39" s="710"/>
      <c r="K39" s="710"/>
      <c r="L39" s="710"/>
      <c r="M39" s="710"/>
      <c r="N39" s="710"/>
      <c r="O39" s="710"/>
      <c r="P39" s="710"/>
      <c r="Q39" s="710"/>
    </row>
    <row r="40" spans="1:17">
      <c r="A40" s="712"/>
      <c r="B40" s="728"/>
      <c r="C40" s="712"/>
      <c r="D40" s="712"/>
      <c r="E40" s="710"/>
      <c r="F40" s="710"/>
      <c r="G40" s="710"/>
      <c r="H40" s="710"/>
      <c r="I40" s="710"/>
      <c r="J40" s="710"/>
      <c r="K40" s="710"/>
      <c r="L40" s="710"/>
      <c r="M40" s="710"/>
      <c r="N40" s="710"/>
      <c r="O40" s="710"/>
      <c r="P40" s="710"/>
      <c r="Q40" s="710"/>
    </row>
    <row r="41" spans="1:17">
      <c r="A41" s="712"/>
      <c r="B41" s="728"/>
      <c r="C41" s="712"/>
      <c r="D41" s="712"/>
      <c r="E41" s="710"/>
      <c r="F41" s="710"/>
      <c r="G41" s="710"/>
      <c r="H41" s="710"/>
      <c r="I41" s="710"/>
      <c r="J41" s="710"/>
      <c r="K41" s="710"/>
      <c r="L41" s="710"/>
      <c r="M41" s="710"/>
      <c r="N41" s="710"/>
      <c r="O41" s="710"/>
      <c r="P41" s="710"/>
      <c r="Q41" s="710"/>
    </row>
    <row r="42" spans="1:17">
      <c r="A42" s="712"/>
      <c r="B42" s="728"/>
      <c r="C42" s="712"/>
      <c r="D42" s="712"/>
      <c r="E42" s="710"/>
      <c r="F42" s="710"/>
      <c r="G42" s="710"/>
      <c r="H42" s="710"/>
      <c r="I42" s="710"/>
      <c r="J42" s="710"/>
      <c r="K42" s="710"/>
      <c r="L42" s="710"/>
      <c r="M42" s="710"/>
      <c r="N42" s="710"/>
      <c r="O42" s="710"/>
      <c r="P42" s="710"/>
      <c r="Q42" s="710"/>
    </row>
    <row r="43" spans="1:17">
      <c r="A43" s="712"/>
      <c r="B43" s="728"/>
      <c r="C43" s="712"/>
      <c r="D43" s="712"/>
      <c r="E43" s="710"/>
      <c r="F43" s="710"/>
      <c r="G43" s="710"/>
      <c r="H43" s="710"/>
      <c r="I43" s="710"/>
      <c r="J43" s="710"/>
      <c r="K43" s="710"/>
      <c r="L43" s="710"/>
      <c r="M43" s="710"/>
      <c r="N43" s="710"/>
      <c r="O43" s="710"/>
      <c r="P43" s="710"/>
      <c r="Q43" s="710"/>
    </row>
    <row r="44" spans="1:17">
      <c r="A44" s="712"/>
      <c r="B44" s="728"/>
      <c r="C44" s="712"/>
      <c r="D44" s="712"/>
      <c r="E44" s="710"/>
      <c r="F44" s="710"/>
      <c r="G44" s="710"/>
      <c r="H44" s="710"/>
      <c r="I44" s="710"/>
      <c r="J44" s="710"/>
      <c r="K44" s="710"/>
      <c r="L44" s="710"/>
      <c r="M44" s="710"/>
      <c r="N44" s="710"/>
      <c r="O44" s="710"/>
      <c r="P44" s="710"/>
      <c r="Q44" s="710"/>
    </row>
    <row r="45" spans="1:17">
      <c r="A45" s="712"/>
      <c r="B45" s="728"/>
      <c r="C45" s="712"/>
      <c r="D45" s="712"/>
      <c r="E45" s="710"/>
      <c r="F45" s="710"/>
      <c r="G45" s="710"/>
      <c r="H45" s="710"/>
      <c r="I45" s="710"/>
      <c r="J45" s="710"/>
      <c r="K45" s="710"/>
      <c r="L45" s="710"/>
      <c r="M45" s="710"/>
      <c r="N45" s="710"/>
      <c r="O45" s="710"/>
      <c r="P45" s="710"/>
      <c r="Q45" s="710"/>
    </row>
    <row r="46" spans="1:17">
      <c r="A46" s="712"/>
      <c r="B46" s="728"/>
      <c r="C46" s="712"/>
      <c r="D46" s="712"/>
      <c r="E46" s="710"/>
      <c r="F46" s="710"/>
      <c r="G46" s="710"/>
      <c r="H46" s="710"/>
      <c r="I46" s="710"/>
      <c r="J46" s="710"/>
      <c r="K46" s="710"/>
      <c r="L46" s="710"/>
      <c r="M46" s="710"/>
      <c r="N46" s="710"/>
      <c r="O46" s="710"/>
      <c r="P46" s="710"/>
      <c r="Q46" s="710"/>
    </row>
    <row r="47" spans="1:17">
      <c r="A47" s="712"/>
      <c r="B47" s="728"/>
      <c r="C47" s="712"/>
      <c r="D47" s="712"/>
      <c r="E47" s="710"/>
      <c r="F47" s="710"/>
      <c r="G47" s="710"/>
      <c r="H47" s="710"/>
      <c r="I47" s="710"/>
      <c r="J47" s="710"/>
      <c r="K47" s="710"/>
      <c r="L47" s="710"/>
      <c r="M47" s="710"/>
      <c r="N47" s="710"/>
      <c r="O47" s="710"/>
      <c r="P47" s="710"/>
      <c r="Q47" s="710"/>
    </row>
    <row r="48" spans="1:17">
      <c r="A48" s="712"/>
      <c r="B48" s="728"/>
      <c r="C48" s="712"/>
      <c r="D48" s="712"/>
      <c r="E48" s="710"/>
      <c r="F48" s="710"/>
      <c r="G48" s="710"/>
      <c r="H48" s="710"/>
      <c r="I48" s="710"/>
      <c r="J48" s="710"/>
      <c r="K48" s="710"/>
      <c r="L48" s="710"/>
      <c r="M48" s="710"/>
      <c r="N48" s="710"/>
      <c r="O48" s="710"/>
      <c r="P48" s="710"/>
      <c r="Q48" s="710"/>
    </row>
    <row r="49" spans="1:17">
      <c r="A49" s="712"/>
      <c r="B49" s="728"/>
      <c r="C49" s="712"/>
      <c r="D49" s="712"/>
      <c r="E49" s="710"/>
      <c r="F49" s="710"/>
      <c r="G49" s="710"/>
      <c r="H49" s="710"/>
      <c r="I49" s="710"/>
      <c r="J49" s="710"/>
      <c r="K49" s="710"/>
      <c r="L49" s="710"/>
      <c r="M49" s="710"/>
      <c r="N49" s="710"/>
      <c r="O49" s="710"/>
      <c r="P49" s="710"/>
      <c r="Q49" s="710"/>
    </row>
    <row r="50" spans="1:17">
      <c r="A50" s="712"/>
      <c r="B50" s="728"/>
      <c r="C50" s="712"/>
      <c r="D50" s="712"/>
      <c r="E50" s="710"/>
      <c r="F50" s="710"/>
      <c r="G50" s="710"/>
      <c r="H50" s="710"/>
      <c r="I50" s="710"/>
      <c r="J50" s="710"/>
      <c r="K50" s="710"/>
      <c r="L50" s="710"/>
      <c r="M50" s="710"/>
      <c r="N50" s="710"/>
      <c r="O50" s="710"/>
      <c r="P50" s="710"/>
      <c r="Q50" s="710"/>
    </row>
    <row r="51" spans="1:17">
      <c r="A51" s="712"/>
      <c r="B51" s="728"/>
      <c r="C51" s="712"/>
      <c r="D51" s="712"/>
      <c r="E51" s="710"/>
      <c r="F51" s="710"/>
      <c r="G51" s="710"/>
      <c r="H51" s="710"/>
      <c r="I51" s="710"/>
      <c r="J51" s="710"/>
      <c r="K51" s="710"/>
      <c r="L51" s="710"/>
      <c r="M51" s="710"/>
      <c r="N51" s="710"/>
      <c r="O51" s="710"/>
      <c r="P51" s="710"/>
      <c r="Q51" s="710"/>
    </row>
    <row r="52" spans="1:17">
      <c r="A52" s="712"/>
      <c r="B52" s="728"/>
      <c r="C52" s="712"/>
      <c r="D52" s="712"/>
      <c r="E52" s="710"/>
      <c r="F52" s="710"/>
      <c r="G52" s="710"/>
      <c r="H52" s="710"/>
      <c r="I52" s="710"/>
      <c r="J52" s="710"/>
      <c r="K52" s="710"/>
      <c r="L52" s="710"/>
      <c r="M52" s="710"/>
      <c r="N52" s="710"/>
      <c r="O52" s="710"/>
      <c r="P52" s="710"/>
      <c r="Q52" s="710"/>
    </row>
    <row r="53" spans="1:17">
      <c r="A53" s="712"/>
      <c r="B53" s="728"/>
      <c r="C53" s="712"/>
      <c r="D53" s="712"/>
      <c r="E53" s="710"/>
      <c r="F53" s="710"/>
      <c r="G53" s="710"/>
      <c r="H53" s="710"/>
      <c r="I53" s="710"/>
      <c r="J53" s="710"/>
      <c r="K53" s="710"/>
      <c r="L53" s="710"/>
      <c r="M53" s="710"/>
      <c r="N53" s="710"/>
      <c r="O53" s="710"/>
      <c r="P53" s="710"/>
      <c r="Q53" s="710"/>
    </row>
    <row r="54" spans="1:17">
      <c r="A54" s="712"/>
      <c r="B54" s="728"/>
      <c r="C54" s="712"/>
      <c r="D54" s="712"/>
      <c r="E54" s="710"/>
      <c r="F54" s="710"/>
      <c r="G54" s="710"/>
      <c r="H54" s="710"/>
      <c r="I54" s="710"/>
      <c r="J54" s="710"/>
      <c r="K54" s="710"/>
      <c r="L54" s="710"/>
      <c r="M54" s="710"/>
      <c r="N54" s="710"/>
      <c r="O54" s="710"/>
      <c r="P54" s="710"/>
      <c r="Q54" s="710"/>
    </row>
    <row r="55" spans="1:17">
      <c r="A55" s="712"/>
      <c r="B55" s="728"/>
      <c r="C55" s="712"/>
      <c r="D55" s="712"/>
      <c r="E55" s="710"/>
      <c r="F55" s="710"/>
      <c r="G55" s="710"/>
      <c r="H55" s="710"/>
      <c r="I55" s="710"/>
      <c r="J55" s="710"/>
      <c r="K55" s="710"/>
      <c r="L55" s="710"/>
      <c r="M55" s="710"/>
      <c r="N55" s="710"/>
      <c r="O55" s="710"/>
      <c r="P55" s="710"/>
      <c r="Q55" s="710"/>
    </row>
    <row r="56" spans="1:17">
      <c r="A56" s="712"/>
      <c r="B56" s="728"/>
      <c r="C56" s="712"/>
      <c r="D56" s="712"/>
      <c r="E56" s="710"/>
      <c r="F56" s="710"/>
      <c r="G56" s="710"/>
      <c r="H56" s="710"/>
      <c r="I56" s="710"/>
      <c r="J56" s="710"/>
      <c r="K56" s="710"/>
      <c r="L56" s="710"/>
      <c r="M56" s="710"/>
      <c r="N56" s="710"/>
      <c r="O56" s="710"/>
      <c r="P56" s="710"/>
      <c r="Q56" s="710"/>
    </row>
    <row r="57" spans="1:17">
      <c r="A57" s="712"/>
      <c r="B57" s="728"/>
      <c r="C57" s="712"/>
      <c r="D57" s="712"/>
      <c r="E57" s="710"/>
      <c r="F57" s="710"/>
      <c r="G57" s="710"/>
      <c r="H57" s="710"/>
      <c r="I57" s="710"/>
      <c r="J57" s="710"/>
      <c r="K57" s="710"/>
      <c r="L57" s="710"/>
      <c r="M57" s="710"/>
      <c r="N57" s="710"/>
      <c r="O57" s="710"/>
      <c r="P57" s="710"/>
      <c r="Q57" s="710"/>
    </row>
    <row r="58" spans="1:17">
      <c r="A58" s="712"/>
      <c r="B58" s="728"/>
      <c r="C58" s="712"/>
      <c r="D58" s="712"/>
      <c r="E58" s="710"/>
      <c r="F58" s="710"/>
      <c r="G58" s="710"/>
      <c r="H58" s="710"/>
      <c r="I58" s="710"/>
      <c r="J58" s="710"/>
      <c r="K58" s="710"/>
      <c r="L58" s="710"/>
      <c r="M58" s="710"/>
      <c r="N58" s="710"/>
      <c r="O58" s="710"/>
      <c r="P58" s="710"/>
      <c r="Q58" s="710"/>
    </row>
    <row r="59" spans="1:17">
      <c r="A59" s="712"/>
      <c r="B59" s="728"/>
      <c r="C59" s="712"/>
      <c r="D59" s="712"/>
      <c r="E59" s="710"/>
      <c r="F59" s="710"/>
      <c r="G59" s="710"/>
      <c r="H59" s="710"/>
      <c r="I59" s="710"/>
      <c r="J59" s="710"/>
      <c r="K59" s="710"/>
      <c r="L59" s="710"/>
      <c r="M59" s="710"/>
      <c r="N59" s="710"/>
      <c r="O59" s="710"/>
      <c r="P59" s="710"/>
      <c r="Q59" s="710"/>
    </row>
    <row r="60" spans="1:17">
      <c r="A60" s="712"/>
      <c r="B60" s="728"/>
      <c r="C60" s="712"/>
      <c r="D60" s="712"/>
      <c r="E60" s="710"/>
      <c r="F60" s="710"/>
      <c r="G60" s="710"/>
      <c r="H60" s="710"/>
      <c r="I60" s="710"/>
      <c r="J60" s="710"/>
      <c r="K60" s="710"/>
      <c r="L60" s="710"/>
      <c r="M60" s="710"/>
      <c r="N60" s="710"/>
      <c r="O60" s="710"/>
      <c r="P60" s="710"/>
      <c r="Q60" s="710"/>
    </row>
    <row r="61" spans="1:17">
      <c r="A61" s="712"/>
      <c r="B61" s="728"/>
      <c r="C61" s="712"/>
      <c r="D61" s="712"/>
      <c r="E61" s="710"/>
      <c r="F61" s="710"/>
      <c r="G61" s="710"/>
      <c r="H61" s="710"/>
      <c r="I61" s="710"/>
      <c r="J61" s="710"/>
      <c r="K61" s="710"/>
      <c r="L61" s="710"/>
      <c r="M61" s="710"/>
      <c r="N61" s="710"/>
      <c r="O61" s="710"/>
      <c r="P61" s="710"/>
      <c r="Q61" s="710"/>
    </row>
    <row r="62" spans="1:17">
      <c r="A62" s="712"/>
      <c r="B62" s="728"/>
      <c r="C62" s="712"/>
      <c r="D62" s="712"/>
      <c r="E62" s="710"/>
      <c r="F62" s="710"/>
      <c r="G62" s="710"/>
      <c r="H62" s="710"/>
      <c r="I62" s="710"/>
      <c r="J62" s="710"/>
      <c r="K62" s="710"/>
      <c r="L62" s="710"/>
      <c r="M62" s="710"/>
      <c r="N62" s="710"/>
      <c r="O62" s="710"/>
      <c r="P62" s="710"/>
      <c r="Q62" s="710"/>
    </row>
    <row r="63" spans="1:17">
      <c r="A63" s="712"/>
      <c r="B63" s="728"/>
      <c r="C63" s="712"/>
      <c r="D63" s="712"/>
      <c r="E63" s="710"/>
      <c r="F63" s="710"/>
      <c r="G63" s="710"/>
      <c r="H63" s="710"/>
      <c r="I63" s="710"/>
      <c r="J63" s="710"/>
      <c r="K63" s="710"/>
      <c r="L63" s="710"/>
      <c r="M63" s="710"/>
      <c r="N63" s="710"/>
      <c r="O63" s="710"/>
      <c r="P63" s="710"/>
      <c r="Q63" s="710"/>
    </row>
    <row r="64" spans="1:17">
      <c r="A64" s="712"/>
      <c r="B64" s="728"/>
      <c r="C64" s="712"/>
      <c r="D64" s="712"/>
      <c r="E64" s="710"/>
      <c r="F64" s="710"/>
      <c r="G64" s="710"/>
      <c r="H64" s="710"/>
      <c r="I64" s="710"/>
      <c r="J64" s="710"/>
      <c r="K64" s="710"/>
      <c r="L64" s="710"/>
      <c r="M64" s="710"/>
      <c r="N64" s="710"/>
      <c r="O64" s="710"/>
      <c r="P64" s="710"/>
      <c r="Q64" s="710"/>
    </row>
    <row r="65" spans="1:17">
      <c r="A65" s="712"/>
      <c r="B65" s="728"/>
      <c r="C65" s="712"/>
      <c r="D65" s="712"/>
      <c r="E65" s="710"/>
      <c r="F65" s="710"/>
      <c r="G65" s="710"/>
      <c r="H65" s="710"/>
      <c r="I65" s="710"/>
      <c r="J65" s="710"/>
      <c r="K65" s="710"/>
      <c r="L65" s="710"/>
      <c r="M65" s="710"/>
      <c r="N65" s="710"/>
      <c r="O65" s="710"/>
      <c r="P65" s="710"/>
      <c r="Q65" s="710"/>
    </row>
    <row r="66" spans="1:17">
      <c r="A66" s="712"/>
      <c r="B66" s="728"/>
      <c r="C66" s="712"/>
      <c r="D66" s="712"/>
      <c r="E66" s="710"/>
      <c r="F66" s="710"/>
      <c r="G66" s="710"/>
      <c r="H66" s="710"/>
      <c r="I66" s="710"/>
      <c r="J66" s="710"/>
      <c r="K66" s="710"/>
      <c r="L66" s="710"/>
      <c r="M66" s="710"/>
      <c r="N66" s="710"/>
      <c r="O66" s="710"/>
      <c r="P66" s="710"/>
      <c r="Q66" s="710"/>
    </row>
    <row r="67" spans="1:17">
      <c r="A67" s="712"/>
      <c r="B67" s="728"/>
      <c r="C67" s="712"/>
      <c r="D67" s="712"/>
      <c r="E67" s="710"/>
      <c r="F67" s="710"/>
      <c r="G67" s="710"/>
      <c r="H67" s="710"/>
      <c r="I67" s="710"/>
      <c r="J67" s="710"/>
      <c r="K67" s="710"/>
      <c r="L67" s="710"/>
      <c r="M67" s="710"/>
      <c r="N67" s="710"/>
      <c r="O67" s="710"/>
      <c r="P67" s="710"/>
      <c r="Q67" s="710"/>
    </row>
    <row r="68" spans="1:17">
      <c r="A68" s="712"/>
      <c r="B68" s="728"/>
      <c r="C68" s="712"/>
      <c r="D68" s="712"/>
      <c r="E68" s="710"/>
      <c r="F68" s="710"/>
      <c r="G68" s="710"/>
      <c r="H68" s="710"/>
      <c r="I68" s="710"/>
      <c r="J68" s="710"/>
      <c r="K68" s="710"/>
      <c r="L68" s="710"/>
      <c r="M68" s="710"/>
      <c r="N68" s="710"/>
      <c r="O68" s="710"/>
      <c r="P68" s="710"/>
      <c r="Q68" s="710"/>
    </row>
    <row r="69" spans="1:17">
      <c r="A69" s="712"/>
      <c r="B69" s="728"/>
      <c r="C69" s="712"/>
      <c r="D69" s="712"/>
      <c r="E69" s="710"/>
      <c r="F69" s="710"/>
      <c r="G69" s="710"/>
      <c r="H69" s="710"/>
      <c r="I69" s="710"/>
      <c r="J69" s="710"/>
      <c r="K69" s="710"/>
      <c r="L69" s="710"/>
      <c r="M69" s="710"/>
      <c r="N69" s="710"/>
      <c r="O69" s="710"/>
      <c r="P69" s="710"/>
      <c r="Q69" s="710"/>
    </row>
    <row r="70" spans="1:17">
      <c r="A70" s="712"/>
      <c r="B70" s="728"/>
      <c r="C70" s="712"/>
      <c r="D70" s="712"/>
      <c r="E70" s="710"/>
      <c r="F70" s="710"/>
      <c r="G70" s="710"/>
      <c r="H70" s="710"/>
      <c r="I70" s="710"/>
      <c r="J70" s="710"/>
      <c r="K70" s="710"/>
      <c r="L70" s="710"/>
      <c r="M70" s="710"/>
      <c r="N70" s="710"/>
      <c r="O70" s="710"/>
      <c r="P70" s="710"/>
      <c r="Q70" s="710"/>
    </row>
    <row r="71" spans="1:17">
      <c r="A71" s="712"/>
      <c r="B71" s="728"/>
      <c r="C71" s="712"/>
      <c r="D71" s="712"/>
      <c r="E71" s="710"/>
      <c r="F71" s="710"/>
      <c r="G71" s="710"/>
      <c r="H71" s="710"/>
      <c r="I71" s="710"/>
      <c r="J71" s="710"/>
      <c r="K71" s="710"/>
      <c r="L71" s="710"/>
      <c r="M71" s="710"/>
      <c r="N71" s="710"/>
      <c r="O71" s="710"/>
      <c r="P71" s="710"/>
      <c r="Q71" s="710"/>
    </row>
    <row r="72" spans="1:17">
      <c r="A72" s="712"/>
      <c r="B72" s="728"/>
      <c r="C72" s="712"/>
      <c r="D72" s="712"/>
      <c r="E72" s="710"/>
      <c r="F72" s="710"/>
      <c r="G72" s="710"/>
      <c r="H72" s="710"/>
      <c r="I72" s="710"/>
      <c r="J72" s="710"/>
      <c r="K72" s="710"/>
      <c r="L72" s="710"/>
      <c r="M72" s="710"/>
      <c r="N72" s="710"/>
      <c r="O72" s="710"/>
      <c r="P72" s="710"/>
      <c r="Q72" s="710"/>
    </row>
    <row r="73" spans="1:17">
      <c r="A73" s="712"/>
      <c r="B73" s="728"/>
      <c r="C73" s="712"/>
      <c r="D73" s="712"/>
      <c r="E73" s="710"/>
      <c r="F73" s="710"/>
      <c r="G73" s="710"/>
      <c r="H73" s="710"/>
      <c r="I73" s="710"/>
      <c r="J73" s="710"/>
      <c r="K73" s="710"/>
      <c r="L73" s="710"/>
      <c r="M73" s="710"/>
      <c r="N73" s="710"/>
      <c r="O73" s="710"/>
      <c r="P73" s="710"/>
      <c r="Q73" s="710"/>
    </row>
    <row r="74" spans="1:17">
      <c r="A74" s="712"/>
      <c r="B74" s="728"/>
      <c r="C74" s="712"/>
      <c r="D74" s="712"/>
      <c r="E74" s="710"/>
      <c r="F74" s="710"/>
      <c r="G74" s="710"/>
      <c r="H74" s="710"/>
      <c r="I74" s="710"/>
      <c r="J74" s="710"/>
      <c r="K74" s="710"/>
      <c r="L74" s="710"/>
      <c r="M74" s="710"/>
      <c r="N74" s="710"/>
      <c r="O74" s="710"/>
      <c r="P74" s="710"/>
      <c r="Q74" s="710"/>
    </row>
    <row r="75" spans="1:17">
      <c r="A75" s="712"/>
      <c r="B75" s="728"/>
      <c r="C75" s="712"/>
      <c r="D75" s="712"/>
      <c r="E75" s="710"/>
      <c r="F75" s="710"/>
      <c r="G75" s="710"/>
      <c r="H75" s="710"/>
      <c r="I75" s="710"/>
      <c r="J75" s="710"/>
      <c r="K75" s="710"/>
      <c r="L75" s="710"/>
      <c r="M75" s="710"/>
      <c r="N75" s="710"/>
      <c r="O75" s="710"/>
      <c r="P75" s="710"/>
      <c r="Q75" s="710"/>
    </row>
    <row r="76" spans="1:17">
      <c r="A76" s="712"/>
      <c r="B76" s="728"/>
      <c r="C76" s="712"/>
      <c r="D76" s="712"/>
      <c r="E76" s="710"/>
      <c r="F76" s="710"/>
      <c r="G76" s="710"/>
      <c r="H76" s="710"/>
      <c r="I76" s="710"/>
      <c r="J76" s="710"/>
      <c r="K76" s="710"/>
      <c r="L76" s="710"/>
      <c r="M76" s="710"/>
      <c r="N76" s="710"/>
      <c r="O76" s="710"/>
      <c r="P76" s="710"/>
      <c r="Q76" s="710"/>
    </row>
    <row r="77" spans="1:17">
      <c r="A77" s="712"/>
      <c r="B77" s="728"/>
      <c r="C77" s="712"/>
      <c r="D77" s="712"/>
      <c r="E77" s="710"/>
      <c r="F77" s="710"/>
      <c r="G77" s="710"/>
      <c r="H77" s="710"/>
      <c r="I77" s="710"/>
      <c r="J77" s="710"/>
      <c r="K77" s="710"/>
      <c r="L77" s="710"/>
      <c r="M77" s="710"/>
      <c r="N77" s="710"/>
      <c r="O77" s="710"/>
      <c r="P77" s="710"/>
      <c r="Q77" s="710"/>
    </row>
    <row r="78" spans="1:17">
      <c r="A78" s="712"/>
      <c r="B78" s="728"/>
      <c r="C78" s="712"/>
      <c r="D78" s="712"/>
      <c r="E78" s="710"/>
      <c r="F78" s="710"/>
      <c r="G78" s="710"/>
      <c r="H78" s="710"/>
      <c r="I78" s="710"/>
      <c r="J78" s="710"/>
      <c r="K78" s="710"/>
      <c r="L78" s="710"/>
      <c r="M78" s="710"/>
      <c r="N78" s="710"/>
      <c r="O78" s="710"/>
      <c r="P78" s="710"/>
      <c r="Q78" s="710"/>
    </row>
    <row r="79" spans="1:17">
      <c r="A79" s="712"/>
      <c r="B79" s="728"/>
      <c r="C79" s="712"/>
      <c r="D79" s="712"/>
      <c r="E79" s="710"/>
      <c r="F79" s="710"/>
      <c r="G79" s="710"/>
      <c r="H79" s="710"/>
      <c r="I79" s="710"/>
      <c r="J79" s="710"/>
      <c r="K79" s="710"/>
      <c r="L79" s="710"/>
      <c r="M79" s="710"/>
      <c r="N79" s="710"/>
      <c r="O79" s="710"/>
      <c r="P79" s="710"/>
      <c r="Q79" s="710"/>
    </row>
    <row r="80" spans="1:17">
      <c r="A80" s="712"/>
      <c r="B80" s="728"/>
      <c r="C80" s="712"/>
      <c r="D80" s="712"/>
      <c r="E80" s="710"/>
      <c r="F80" s="710"/>
      <c r="G80" s="710"/>
      <c r="H80" s="710"/>
      <c r="I80" s="710"/>
      <c r="J80" s="710"/>
      <c r="K80" s="710"/>
      <c r="L80" s="710"/>
      <c r="M80" s="710"/>
      <c r="N80" s="710"/>
      <c r="O80" s="710"/>
      <c r="P80" s="710"/>
      <c r="Q80" s="710"/>
    </row>
    <row r="81" spans="1:17">
      <c r="A81" s="712"/>
      <c r="B81" s="728"/>
      <c r="C81" s="712"/>
      <c r="D81" s="712"/>
      <c r="E81" s="710"/>
      <c r="F81" s="710"/>
      <c r="G81" s="710"/>
      <c r="H81" s="710"/>
      <c r="I81" s="710"/>
      <c r="J81" s="710"/>
      <c r="K81" s="710"/>
      <c r="L81" s="710"/>
      <c r="M81" s="710"/>
      <c r="N81" s="710"/>
      <c r="O81" s="710"/>
      <c r="P81" s="710"/>
      <c r="Q81" s="710"/>
    </row>
    <row r="82" spans="1:17">
      <c r="A82" s="712"/>
      <c r="B82" s="728"/>
      <c r="C82" s="712"/>
      <c r="D82" s="712"/>
      <c r="E82" s="710"/>
      <c r="F82" s="710"/>
      <c r="G82" s="710"/>
      <c r="H82" s="710"/>
      <c r="I82" s="710"/>
      <c r="J82" s="710"/>
      <c r="K82" s="710"/>
      <c r="L82" s="710"/>
      <c r="M82" s="710"/>
      <c r="N82" s="710"/>
      <c r="O82" s="710"/>
      <c r="P82" s="710"/>
      <c r="Q82" s="710"/>
    </row>
    <row r="83" spans="1:17">
      <c r="A83" s="712"/>
      <c r="B83" s="728"/>
      <c r="C83" s="712"/>
      <c r="D83" s="712"/>
      <c r="E83" s="710"/>
      <c r="F83" s="710"/>
      <c r="G83" s="710"/>
      <c r="H83" s="710"/>
      <c r="I83" s="710"/>
      <c r="J83" s="710"/>
      <c r="K83" s="710"/>
      <c r="L83" s="710"/>
      <c r="M83" s="710"/>
      <c r="N83" s="710"/>
      <c r="O83" s="710"/>
      <c r="P83" s="710"/>
      <c r="Q83" s="710"/>
    </row>
    <row r="84" spans="1:17">
      <c r="A84" s="712"/>
      <c r="B84" s="728"/>
      <c r="C84" s="712"/>
      <c r="D84" s="712"/>
      <c r="E84" s="710"/>
      <c r="F84" s="710"/>
      <c r="G84" s="710"/>
      <c r="H84" s="710"/>
      <c r="I84" s="710"/>
      <c r="J84" s="710"/>
      <c r="K84" s="710"/>
      <c r="L84" s="710"/>
      <c r="M84" s="710"/>
      <c r="N84" s="710"/>
      <c r="O84" s="710"/>
      <c r="P84" s="710"/>
      <c r="Q84" s="710"/>
    </row>
    <row r="85" spans="1:17">
      <c r="A85" s="712"/>
      <c r="B85" s="728"/>
      <c r="C85" s="712"/>
      <c r="D85" s="712"/>
      <c r="E85" s="710"/>
      <c r="F85" s="710"/>
      <c r="G85" s="710"/>
      <c r="H85" s="710"/>
      <c r="I85" s="710"/>
      <c r="J85" s="710"/>
      <c r="K85" s="710"/>
      <c r="L85" s="710"/>
      <c r="M85" s="710"/>
      <c r="N85" s="710"/>
      <c r="O85" s="710"/>
      <c r="P85" s="710"/>
      <c r="Q85" s="710"/>
    </row>
    <row r="86" spans="1:17">
      <c r="A86" s="712"/>
      <c r="B86" s="728"/>
      <c r="C86" s="712"/>
      <c r="D86" s="712"/>
      <c r="E86" s="710"/>
      <c r="F86" s="710"/>
      <c r="G86" s="710"/>
      <c r="H86" s="710"/>
      <c r="I86" s="710"/>
      <c r="J86" s="710"/>
      <c r="K86" s="710"/>
      <c r="L86" s="710"/>
      <c r="M86" s="710"/>
      <c r="N86" s="710"/>
      <c r="O86" s="710"/>
      <c r="P86" s="710"/>
      <c r="Q86" s="710"/>
    </row>
    <row r="87" spans="1:17">
      <c r="A87" s="712"/>
      <c r="B87" s="728"/>
      <c r="C87" s="712"/>
      <c r="D87" s="712"/>
      <c r="E87" s="710"/>
      <c r="F87" s="710"/>
      <c r="G87" s="710"/>
      <c r="H87" s="710"/>
      <c r="I87" s="710"/>
      <c r="J87" s="710"/>
      <c r="K87" s="710"/>
      <c r="L87" s="710"/>
      <c r="M87" s="710"/>
      <c r="N87" s="710"/>
      <c r="O87" s="710"/>
      <c r="P87" s="710"/>
      <c r="Q87" s="710"/>
    </row>
    <row r="88" spans="1:17">
      <c r="A88" s="712"/>
      <c r="B88" s="728"/>
      <c r="C88" s="712"/>
      <c r="D88" s="712"/>
      <c r="E88" s="710"/>
      <c r="F88" s="710"/>
      <c r="G88" s="710"/>
      <c r="H88" s="710"/>
      <c r="I88" s="710"/>
      <c r="J88" s="710"/>
      <c r="K88" s="710"/>
      <c r="L88" s="710"/>
      <c r="M88" s="710"/>
      <c r="N88" s="710"/>
      <c r="O88" s="710"/>
      <c r="P88" s="710"/>
      <c r="Q88" s="710"/>
    </row>
    <row r="89" spans="1:17">
      <c r="A89" s="712"/>
      <c r="B89" s="728"/>
      <c r="C89" s="712"/>
      <c r="D89" s="712"/>
      <c r="E89" s="710"/>
      <c r="F89" s="710"/>
      <c r="G89" s="710"/>
      <c r="H89" s="710"/>
      <c r="I89" s="710"/>
      <c r="J89" s="710"/>
      <c r="K89" s="710"/>
      <c r="L89" s="710"/>
      <c r="M89" s="710"/>
      <c r="N89" s="710"/>
      <c r="O89" s="710"/>
      <c r="P89" s="710"/>
      <c r="Q89" s="710"/>
    </row>
    <row r="90" spans="1:17">
      <c r="A90" s="712"/>
      <c r="B90" s="728"/>
      <c r="C90" s="712"/>
      <c r="D90" s="712"/>
      <c r="E90" s="710"/>
      <c r="F90" s="710"/>
      <c r="G90" s="710"/>
      <c r="H90" s="710"/>
      <c r="I90" s="710"/>
      <c r="J90" s="710"/>
      <c r="K90" s="710"/>
      <c r="L90" s="710"/>
      <c r="M90" s="710"/>
      <c r="N90" s="710"/>
      <c r="O90" s="710"/>
      <c r="P90" s="710"/>
      <c r="Q90" s="710"/>
    </row>
    <row r="91" spans="1:17">
      <c r="A91" s="712"/>
      <c r="B91" s="728"/>
      <c r="C91" s="712"/>
      <c r="D91" s="712"/>
      <c r="E91" s="710"/>
      <c r="F91" s="710"/>
      <c r="G91" s="710"/>
      <c r="H91" s="710"/>
      <c r="I91" s="710"/>
      <c r="J91" s="710"/>
      <c r="K91" s="710"/>
      <c r="L91" s="710"/>
      <c r="M91" s="710"/>
      <c r="N91" s="710"/>
      <c r="O91" s="710"/>
      <c r="P91" s="710"/>
      <c r="Q91" s="710"/>
    </row>
    <row r="92" spans="1:17">
      <c r="A92" s="712"/>
      <c r="B92" s="728"/>
      <c r="C92" s="712"/>
      <c r="D92" s="712"/>
      <c r="E92" s="710"/>
      <c r="F92" s="710"/>
      <c r="G92" s="710"/>
      <c r="H92" s="710"/>
      <c r="I92" s="710"/>
      <c r="J92" s="710"/>
      <c r="K92" s="710"/>
      <c r="L92" s="710"/>
      <c r="M92" s="710"/>
      <c r="N92" s="710"/>
      <c r="O92" s="710"/>
      <c r="P92" s="710"/>
      <c r="Q92" s="710"/>
    </row>
    <row r="93" spans="1:17">
      <c r="A93" s="712"/>
      <c r="B93" s="728"/>
      <c r="C93" s="712"/>
      <c r="D93" s="712"/>
      <c r="E93" s="710"/>
      <c r="F93" s="710"/>
      <c r="G93" s="710"/>
      <c r="H93" s="710"/>
      <c r="I93" s="710"/>
      <c r="J93" s="710"/>
      <c r="K93" s="710"/>
      <c r="L93" s="710"/>
      <c r="M93" s="710"/>
      <c r="N93" s="710"/>
      <c r="O93" s="710"/>
      <c r="P93" s="710"/>
      <c r="Q93" s="710"/>
    </row>
    <row r="94" spans="1:17">
      <c r="A94" s="712"/>
      <c r="B94" s="728"/>
      <c r="C94" s="712"/>
      <c r="D94" s="712"/>
      <c r="E94" s="710"/>
      <c r="F94" s="710"/>
      <c r="G94" s="710"/>
      <c r="H94" s="710"/>
      <c r="I94" s="710"/>
      <c r="J94" s="710"/>
      <c r="K94" s="710"/>
      <c r="L94" s="710"/>
      <c r="M94" s="710"/>
      <c r="N94" s="710"/>
      <c r="O94" s="710"/>
      <c r="P94" s="710"/>
      <c r="Q94" s="710"/>
    </row>
    <row r="95" spans="1:17">
      <c r="A95" s="712"/>
      <c r="B95" s="728"/>
      <c r="C95" s="712"/>
      <c r="D95" s="712"/>
      <c r="E95" s="710"/>
      <c r="F95" s="710"/>
      <c r="G95" s="710"/>
      <c r="H95" s="710"/>
      <c r="I95" s="710"/>
      <c r="J95" s="710"/>
      <c r="K95" s="710"/>
      <c r="L95" s="710"/>
      <c r="M95" s="710"/>
      <c r="N95" s="710"/>
      <c r="O95" s="710"/>
      <c r="P95" s="710"/>
      <c r="Q95" s="710"/>
    </row>
    <row r="96" spans="1:17">
      <c r="A96" s="712"/>
      <c r="B96" s="728"/>
      <c r="C96" s="712"/>
      <c r="D96" s="712"/>
      <c r="E96" s="710"/>
      <c r="F96" s="710"/>
      <c r="G96" s="710"/>
      <c r="H96" s="710"/>
      <c r="I96" s="710"/>
      <c r="J96" s="710"/>
      <c r="K96" s="710"/>
      <c r="L96" s="710"/>
      <c r="M96" s="710"/>
      <c r="N96" s="710"/>
      <c r="O96" s="710"/>
      <c r="P96" s="710"/>
      <c r="Q96" s="710"/>
    </row>
    <row r="97" spans="1:17">
      <c r="A97" s="712"/>
      <c r="B97" s="728"/>
      <c r="C97" s="712"/>
      <c r="D97" s="712"/>
      <c r="E97" s="710"/>
      <c r="F97" s="710"/>
      <c r="G97" s="710"/>
      <c r="H97" s="710"/>
      <c r="I97" s="710"/>
      <c r="J97" s="710"/>
      <c r="K97" s="710"/>
      <c r="L97" s="710"/>
      <c r="M97" s="710"/>
      <c r="N97" s="710"/>
      <c r="O97" s="710"/>
      <c r="P97" s="710"/>
      <c r="Q97" s="710"/>
    </row>
    <row r="98" spans="1:17">
      <c r="A98" s="712"/>
      <c r="B98" s="728"/>
      <c r="C98" s="712"/>
      <c r="D98" s="712"/>
      <c r="E98" s="710"/>
      <c r="F98" s="710"/>
      <c r="G98" s="710"/>
      <c r="H98" s="710"/>
      <c r="I98" s="710"/>
      <c r="J98" s="710"/>
      <c r="K98" s="710"/>
      <c r="L98" s="710"/>
      <c r="M98" s="710"/>
      <c r="N98" s="710"/>
      <c r="O98" s="710"/>
      <c r="P98" s="710"/>
      <c r="Q98" s="710"/>
    </row>
    <row r="99" spans="1:17">
      <c r="A99" s="712"/>
      <c r="B99" s="728"/>
      <c r="C99" s="712"/>
      <c r="D99" s="712"/>
      <c r="E99" s="710"/>
      <c r="F99" s="710"/>
      <c r="G99" s="710"/>
      <c r="H99" s="710"/>
      <c r="I99" s="710"/>
      <c r="J99" s="710"/>
      <c r="K99" s="710"/>
      <c r="L99" s="710"/>
      <c r="M99" s="710"/>
      <c r="N99" s="710"/>
      <c r="O99" s="710"/>
      <c r="P99" s="710"/>
      <c r="Q99" s="710"/>
    </row>
    <row r="100" spans="1:17">
      <c r="A100" s="712"/>
      <c r="B100" s="728"/>
      <c r="C100" s="712"/>
      <c r="D100" s="712"/>
      <c r="E100" s="710"/>
      <c r="F100" s="710"/>
      <c r="G100" s="710"/>
      <c r="H100" s="710"/>
      <c r="I100" s="710"/>
      <c r="J100" s="710"/>
      <c r="K100" s="710"/>
      <c r="L100" s="710"/>
      <c r="M100" s="710"/>
      <c r="N100" s="710"/>
      <c r="O100" s="710"/>
      <c r="P100" s="710"/>
      <c r="Q100" s="710"/>
    </row>
  </sheetData>
  <mergeCells count="1">
    <mergeCell ref="C1:D2"/>
  </mergeCells>
  <printOptions horizontalCentered="1"/>
  <pageMargins left="0.7" right="0.7" top="0.75" bottom="0.75" header="0.3" footer="0.3"/>
  <pageSetup orientation="portrait" horizontalDpi="4294967293" r:id="rId1"/>
  <legacyDrawing r:id="rId2"/>
</worksheet>
</file>

<file path=xl/worksheets/sheet4.xml><?xml version="1.0" encoding="utf-8"?>
<worksheet xmlns="http://schemas.openxmlformats.org/spreadsheetml/2006/main" xmlns:r="http://schemas.openxmlformats.org/officeDocument/2006/relationships">
  <sheetPr codeName="Sheet2"/>
  <dimension ref="A1:S120"/>
  <sheetViews>
    <sheetView zoomScaleNormal="100" workbookViewId="0">
      <pane xSplit="1" ySplit="8" topLeftCell="B9" activePane="bottomRight" state="frozen"/>
      <selection activeCell="D3" sqref="D3:V3"/>
      <selection pane="topRight" activeCell="D3" sqref="D3:V3"/>
      <selection pane="bottomLeft" activeCell="D3" sqref="D3:V3"/>
      <selection pane="bottomRight" activeCell="A9" sqref="A9"/>
    </sheetView>
  </sheetViews>
  <sheetFormatPr defaultColWidth="9.140625" defaultRowHeight="12.75"/>
  <cols>
    <col min="1" max="1" width="12.42578125" style="2" customWidth="1"/>
    <col min="2" max="2" width="9.7109375" style="2" customWidth="1"/>
    <col min="3" max="3" width="11" style="2" customWidth="1"/>
    <col min="4" max="4" width="9.42578125" style="2" customWidth="1"/>
    <col min="5" max="5" width="8.85546875" style="2" bestFit="1" customWidth="1"/>
    <col min="6" max="6" width="8.5703125" style="2" customWidth="1"/>
    <col min="7" max="7" width="8" style="2" customWidth="1"/>
    <col min="8" max="8" width="10.5703125" style="2" customWidth="1"/>
    <col min="9" max="9" width="7.28515625" style="2" customWidth="1"/>
    <col min="10" max="10" width="14.5703125" style="2" customWidth="1"/>
    <col min="11" max="16384" width="9.140625" style="2"/>
  </cols>
  <sheetData>
    <row r="1" spans="1:19" ht="15.6" customHeight="1">
      <c r="A1" s="661" t="str">
        <f>'1-Cover'!A1</f>
        <v>Project Name</v>
      </c>
      <c r="B1" s="657"/>
      <c r="C1" s="657"/>
      <c r="D1" s="657"/>
      <c r="E1" s="657"/>
      <c r="F1" s="867" t="s">
        <v>795</v>
      </c>
      <c r="G1" s="827"/>
      <c r="H1" s="827"/>
      <c r="I1" s="657"/>
      <c r="J1" s="657"/>
      <c r="K1" s="657"/>
      <c r="L1" s="657"/>
      <c r="M1" s="657"/>
      <c r="N1" s="657"/>
      <c r="O1" s="657"/>
      <c r="P1" s="657"/>
      <c r="Q1" s="657"/>
      <c r="R1" s="657"/>
      <c r="S1" s="657"/>
    </row>
    <row r="2" spans="1:19" ht="15.75">
      <c r="A2" s="707" t="s">
        <v>797</v>
      </c>
      <c r="B2" s="657"/>
      <c r="C2" s="657"/>
      <c r="D2" s="657"/>
      <c r="E2" s="657"/>
      <c r="F2" s="827"/>
      <c r="G2" s="827"/>
      <c r="H2" s="827"/>
      <c r="I2" s="657"/>
      <c r="J2" s="657"/>
      <c r="K2" s="657"/>
      <c r="L2" s="657"/>
      <c r="M2" s="657"/>
      <c r="N2" s="657"/>
      <c r="O2" s="657"/>
      <c r="P2" s="657"/>
      <c r="Q2" s="657"/>
      <c r="R2" s="657"/>
      <c r="S2" s="657"/>
    </row>
    <row r="3" spans="1:19" ht="13.5" thickBot="1">
      <c r="A3" s="724"/>
      <c r="B3" s="737"/>
      <c r="C3" s="657"/>
      <c r="D3" s="657"/>
      <c r="E3" s="657"/>
      <c r="F3" s="657"/>
      <c r="G3" s="657"/>
      <c r="H3" s="657"/>
      <c r="I3" s="657"/>
      <c r="J3" s="657"/>
      <c r="K3" s="657"/>
      <c r="L3" s="657"/>
      <c r="M3" s="657"/>
      <c r="N3" s="657"/>
      <c r="O3" s="657"/>
      <c r="P3" s="657"/>
      <c r="Q3" s="657"/>
      <c r="R3" s="657"/>
      <c r="S3" s="657"/>
    </row>
    <row r="4" spans="1:19" ht="13.5" thickBot="1">
      <c r="A4" s="888" t="s">
        <v>190</v>
      </c>
      <c r="B4" s="888"/>
      <c r="C4" s="888"/>
      <c r="D4" s="889"/>
      <c r="E4" s="890"/>
      <c r="F4" s="800"/>
      <c r="G4" s="677" t="s">
        <v>62</v>
      </c>
      <c r="H4" s="657"/>
      <c r="I4" s="677"/>
      <c r="J4" s="657"/>
      <c r="K4" s="657"/>
      <c r="L4" s="657"/>
      <c r="M4" s="657"/>
      <c r="N4" s="657"/>
      <c r="O4" s="657"/>
      <c r="P4" s="657"/>
      <c r="Q4" s="657"/>
      <c r="R4" s="657"/>
      <c r="S4" s="657"/>
    </row>
    <row r="5" spans="1:19" ht="13.5" thickBot="1">
      <c r="A5" s="677"/>
      <c r="B5" s="657"/>
      <c r="C5" s="657"/>
      <c r="D5" s="657"/>
      <c r="E5" s="657"/>
      <c r="F5" s="657"/>
      <c r="G5" s="657"/>
      <c r="H5" s="657"/>
      <c r="I5" s="657"/>
      <c r="J5" s="657"/>
      <c r="K5" s="657"/>
      <c r="L5" s="657"/>
      <c r="M5" s="657"/>
      <c r="N5" s="657"/>
      <c r="O5" s="657"/>
      <c r="P5" s="657"/>
      <c r="Q5" s="657"/>
      <c r="R5" s="657"/>
      <c r="S5" s="657"/>
    </row>
    <row r="6" spans="1:19" ht="13.15" customHeight="1">
      <c r="A6" s="872" t="s">
        <v>60</v>
      </c>
      <c r="B6" s="885" t="s">
        <v>59</v>
      </c>
      <c r="C6" s="875" t="s">
        <v>517</v>
      </c>
      <c r="D6" s="875" t="s">
        <v>554</v>
      </c>
      <c r="E6" s="875" t="s">
        <v>518</v>
      </c>
      <c r="F6" s="880" t="s">
        <v>519</v>
      </c>
      <c r="G6" s="875" t="s">
        <v>520</v>
      </c>
      <c r="H6" s="868" t="s">
        <v>521</v>
      </c>
      <c r="I6" s="880" t="s">
        <v>480</v>
      </c>
      <c r="J6" s="868" t="s">
        <v>522</v>
      </c>
      <c r="K6" s="657"/>
      <c r="L6" s="657"/>
      <c r="M6" s="657"/>
      <c r="N6" s="657"/>
      <c r="O6" s="657"/>
      <c r="P6" s="657"/>
      <c r="Q6" s="657"/>
      <c r="R6" s="657"/>
      <c r="S6" s="657"/>
    </row>
    <row r="7" spans="1:19" ht="18" customHeight="1">
      <c r="A7" s="873"/>
      <c r="B7" s="886"/>
      <c r="C7" s="878"/>
      <c r="D7" s="876"/>
      <c r="E7" s="876"/>
      <c r="F7" s="881"/>
      <c r="G7" s="878"/>
      <c r="H7" s="869"/>
      <c r="I7" s="883"/>
      <c r="J7" s="869"/>
      <c r="K7" s="657"/>
      <c r="L7" s="657"/>
      <c r="M7" s="657"/>
      <c r="N7" s="657"/>
      <c r="O7" s="657"/>
      <c r="P7" s="657"/>
      <c r="Q7" s="657"/>
      <c r="R7" s="657"/>
      <c r="S7" s="657"/>
    </row>
    <row r="8" spans="1:19" ht="13.5" thickBot="1">
      <c r="A8" s="874"/>
      <c r="B8" s="887"/>
      <c r="C8" s="879"/>
      <c r="D8" s="877"/>
      <c r="E8" s="877"/>
      <c r="F8" s="882"/>
      <c r="G8" s="879"/>
      <c r="H8" s="870"/>
      <c r="I8" s="884"/>
      <c r="J8" s="871"/>
      <c r="K8" s="657"/>
      <c r="L8" s="657"/>
      <c r="M8" s="657"/>
      <c r="N8" s="657"/>
      <c r="O8" s="657"/>
      <c r="P8" s="657"/>
      <c r="Q8" s="657"/>
      <c r="R8" s="657"/>
      <c r="S8" s="657"/>
    </row>
    <row r="9" spans="1:19">
      <c r="A9" s="212"/>
      <c r="B9" s="204"/>
      <c r="C9" s="235"/>
      <c r="D9" s="205"/>
      <c r="E9" s="205"/>
      <c r="F9" s="233"/>
      <c r="G9" s="235"/>
      <c r="H9" s="237"/>
      <c r="I9" s="53" t="str">
        <f t="shared" ref="I9:I28" si="0">IF(OR($F9="",$H9=""),"",$H9/$F9)</f>
        <v/>
      </c>
      <c r="J9" s="51" t="str">
        <f t="shared" ref="J9:J28" si="1">IF(OR(E9="",I9=""),"",IF(I9&gt;26,E9,E9*(1.74-(0.52*LOG(I9)))))</f>
        <v/>
      </c>
      <c r="K9" s="657"/>
      <c r="L9" s="657"/>
      <c r="M9" s="657"/>
      <c r="N9" s="657"/>
      <c r="O9" s="657"/>
      <c r="P9" s="657"/>
      <c r="Q9" s="657"/>
      <c r="R9" s="657"/>
      <c r="S9" s="657"/>
    </row>
    <row r="10" spans="1:19">
      <c r="A10" s="213"/>
      <c r="B10" s="206"/>
      <c r="C10" s="236"/>
      <c r="D10" s="207"/>
      <c r="E10" s="207"/>
      <c r="F10" s="234"/>
      <c r="G10" s="236"/>
      <c r="H10" s="238"/>
      <c r="I10" s="54" t="str">
        <f t="shared" si="0"/>
        <v/>
      </c>
      <c r="J10" s="52" t="str">
        <f t="shared" si="1"/>
        <v/>
      </c>
      <c r="K10" s="657"/>
      <c r="L10" s="657"/>
      <c r="M10" s="657"/>
      <c r="N10" s="657"/>
      <c r="O10" s="657"/>
      <c r="P10" s="657"/>
      <c r="Q10" s="657"/>
      <c r="R10" s="657"/>
      <c r="S10" s="657"/>
    </row>
    <row r="11" spans="1:19">
      <c r="A11" s="213"/>
      <c r="B11" s="206"/>
      <c r="C11" s="236"/>
      <c r="D11" s="207"/>
      <c r="E11" s="207"/>
      <c r="F11" s="234"/>
      <c r="G11" s="236"/>
      <c r="H11" s="238"/>
      <c r="I11" s="54" t="str">
        <f t="shared" si="0"/>
        <v/>
      </c>
      <c r="J11" s="52" t="str">
        <f t="shared" si="1"/>
        <v/>
      </c>
      <c r="K11" s="657"/>
      <c r="L11" s="657"/>
      <c r="M11" s="657"/>
      <c r="N11" s="657"/>
      <c r="O11" s="657"/>
      <c r="P11" s="657"/>
      <c r="Q11" s="657"/>
      <c r="R11" s="657"/>
      <c r="S11" s="657"/>
    </row>
    <row r="12" spans="1:19">
      <c r="A12" s="213"/>
      <c r="B12" s="206"/>
      <c r="C12" s="236"/>
      <c r="D12" s="207"/>
      <c r="E12" s="207"/>
      <c r="F12" s="234"/>
      <c r="G12" s="236"/>
      <c r="H12" s="238"/>
      <c r="I12" s="54" t="str">
        <f t="shared" si="0"/>
        <v/>
      </c>
      <c r="J12" s="52" t="str">
        <f t="shared" si="1"/>
        <v/>
      </c>
      <c r="K12" s="657"/>
      <c r="L12" s="657"/>
      <c r="M12" s="657"/>
      <c r="N12" s="657"/>
      <c r="O12" s="657"/>
      <c r="P12" s="657"/>
      <c r="Q12" s="657"/>
      <c r="R12" s="657"/>
      <c r="S12" s="657"/>
    </row>
    <row r="13" spans="1:19">
      <c r="A13" s="213"/>
      <c r="B13" s="206"/>
      <c r="C13" s="236"/>
      <c r="D13" s="207"/>
      <c r="E13" s="207"/>
      <c r="F13" s="234"/>
      <c r="G13" s="236"/>
      <c r="H13" s="238"/>
      <c r="I13" s="54" t="str">
        <f t="shared" si="0"/>
        <v/>
      </c>
      <c r="J13" s="126" t="str">
        <f t="shared" si="1"/>
        <v/>
      </c>
      <c r="K13" s="657"/>
      <c r="L13" s="657"/>
      <c r="M13" s="657"/>
      <c r="N13" s="657"/>
      <c r="O13" s="657"/>
      <c r="P13" s="657"/>
      <c r="Q13" s="657"/>
      <c r="R13" s="657"/>
      <c r="S13" s="657"/>
    </row>
    <row r="14" spans="1:19">
      <c r="A14" s="213"/>
      <c r="B14" s="206"/>
      <c r="C14" s="236"/>
      <c r="D14" s="207"/>
      <c r="E14" s="207"/>
      <c r="F14" s="234"/>
      <c r="G14" s="236"/>
      <c r="H14" s="238"/>
      <c r="I14" s="54" t="str">
        <f t="shared" si="0"/>
        <v/>
      </c>
      <c r="J14" s="126" t="str">
        <f t="shared" si="1"/>
        <v/>
      </c>
      <c r="K14" s="657"/>
      <c r="L14" s="657"/>
      <c r="M14" s="657"/>
      <c r="N14" s="657"/>
      <c r="O14" s="657"/>
      <c r="P14" s="657"/>
      <c r="Q14" s="657"/>
      <c r="R14" s="657"/>
      <c r="S14" s="657"/>
    </row>
    <row r="15" spans="1:19">
      <c r="A15" s="213"/>
      <c r="B15" s="206"/>
      <c r="C15" s="236"/>
      <c r="D15" s="207"/>
      <c r="E15" s="207"/>
      <c r="F15" s="234"/>
      <c r="G15" s="236"/>
      <c r="H15" s="238"/>
      <c r="I15" s="54" t="str">
        <f t="shared" si="0"/>
        <v/>
      </c>
      <c r="J15" s="126" t="str">
        <f t="shared" si="1"/>
        <v/>
      </c>
      <c r="K15" s="657"/>
      <c r="L15" s="657"/>
      <c r="M15" s="657"/>
      <c r="N15" s="657"/>
      <c r="O15" s="657"/>
      <c r="P15" s="657"/>
      <c r="Q15" s="657"/>
      <c r="R15" s="657"/>
      <c r="S15" s="657"/>
    </row>
    <row r="16" spans="1:19">
      <c r="A16" s="213"/>
      <c r="B16" s="206"/>
      <c r="C16" s="236"/>
      <c r="D16" s="207"/>
      <c r="E16" s="207"/>
      <c r="F16" s="234"/>
      <c r="G16" s="236"/>
      <c r="H16" s="238"/>
      <c r="I16" s="54" t="str">
        <f t="shared" si="0"/>
        <v/>
      </c>
      <c r="J16" s="126" t="str">
        <f t="shared" si="1"/>
        <v/>
      </c>
      <c r="K16" s="657"/>
      <c r="L16" s="657"/>
      <c r="M16" s="657"/>
      <c r="N16" s="657"/>
      <c r="O16" s="657"/>
      <c r="P16" s="657"/>
      <c r="Q16" s="657"/>
      <c r="R16" s="657"/>
      <c r="S16" s="657"/>
    </row>
    <row r="17" spans="1:19">
      <c r="A17" s="213"/>
      <c r="B17" s="206"/>
      <c r="C17" s="236"/>
      <c r="D17" s="207"/>
      <c r="E17" s="207"/>
      <c r="F17" s="234"/>
      <c r="G17" s="236"/>
      <c r="H17" s="238"/>
      <c r="I17" s="54" t="str">
        <f t="shared" si="0"/>
        <v/>
      </c>
      <c r="J17" s="126" t="str">
        <f t="shared" si="1"/>
        <v/>
      </c>
      <c r="K17" s="657"/>
      <c r="L17" s="657"/>
      <c r="M17" s="657"/>
      <c r="N17" s="657"/>
      <c r="O17" s="657"/>
      <c r="P17" s="657"/>
      <c r="Q17" s="657"/>
      <c r="R17" s="657"/>
      <c r="S17" s="657"/>
    </row>
    <row r="18" spans="1:19">
      <c r="A18" s="213"/>
      <c r="B18" s="206"/>
      <c r="C18" s="236"/>
      <c r="D18" s="207"/>
      <c r="E18" s="207"/>
      <c r="F18" s="234"/>
      <c r="G18" s="236"/>
      <c r="H18" s="238"/>
      <c r="I18" s="54" t="str">
        <f t="shared" si="0"/>
        <v/>
      </c>
      <c r="J18" s="126" t="str">
        <f t="shared" si="1"/>
        <v/>
      </c>
      <c r="K18" s="657"/>
      <c r="L18" s="657"/>
      <c r="M18" s="657"/>
      <c r="N18" s="657"/>
      <c r="O18" s="657"/>
      <c r="P18" s="657"/>
      <c r="Q18" s="657"/>
      <c r="R18" s="657"/>
      <c r="S18" s="657"/>
    </row>
    <row r="19" spans="1:19">
      <c r="A19" s="213"/>
      <c r="B19" s="206"/>
      <c r="C19" s="236"/>
      <c r="D19" s="207"/>
      <c r="E19" s="207"/>
      <c r="F19" s="234"/>
      <c r="G19" s="236"/>
      <c r="H19" s="238"/>
      <c r="I19" s="54" t="str">
        <f t="shared" si="0"/>
        <v/>
      </c>
      <c r="J19" s="126" t="str">
        <f t="shared" si="1"/>
        <v/>
      </c>
      <c r="K19" s="657"/>
      <c r="L19" s="657"/>
      <c r="M19" s="657"/>
      <c r="N19" s="657"/>
      <c r="O19" s="657"/>
      <c r="P19" s="657"/>
      <c r="Q19" s="657"/>
      <c r="R19" s="657"/>
      <c r="S19" s="657"/>
    </row>
    <row r="20" spans="1:19">
      <c r="A20" s="213"/>
      <c r="B20" s="206"/>
      <c r="C20" s="236"/>
      <c r="D20" s="207"/>
      <c r="E20" s="207"/>
      <c r="F20" s="234"/>
      <c r="G20" s="236"/>
      <c r="H20" s="238"/>
      <c r="I20" s="54" t="str">
        <f t="shared" si="0"/>
        <v/>
      </c>
      <c r="J20" s="126" t="str">
        <f t="shared" si="1"/>
        <v/>
      </c>
      <c r="K20" s="657"/>
      <c r="L20" s="657"/>
      <c r="M20" s="657"/>
      <c r="N20" s="657"/>
      <c r="O20" s="657"/>
      <c r="P20" s="657"/>
      <c r="Q20" s="657"/>
      <c r="R20" s="657"/>
      <c r="S20" s="657"/>
    </row>
    <row r="21" spans="1:19">
      <c r="A21" s="213"/>
      <c r="B21" s="206"/>
      <c r="C21" s="236"/>
      <c r="D21" s="207"/>
      <c r="E21" s="207"/>
      <c r="F21" s="234"/>
      <c r="G21" s="236"/>
      <c r="H21" s="238"/>
      <c r="I21" s="54" t="str">
        <f t="shared" si="0"/>
        <v/>
      </c>
      <c r="J21" s="126" t="str">
        <f t="shared" si="1"/>
        <v/>
      </c>
      <c r="K21" s="657"/>
      <c r="L21" s="657"/>
      <c r="M21" s="657"/>
      <c r="N21" s="657"/>
      <c r="O21" s="657"/>
      <c r="P21" s="657"/>
      <c r="Q21" s="657"/>
      <c r="R21" s="657"/>
      <c r="S21" s="657"/>
    </row>
    <row r="22" spans="1:19">
      <c r="A22" s="213"/>
      <c r="B22" s="206"/>
      <c r="C22" s="236"/>
      <c r="D22" s="207"/>
      <c r="E22" s="207"/>
      <c r="F22" s="234"/>
      <c r="G22" s="236"/>
      <c r="H22" s="238"/>
      <c r="I22" s="54" t="str">
        <f t="shared" si="0"/>
        <v/>
      </c>
      <c r="J22" s="126" t="str">
        <f t="shared" si="1"/>
        <v/>
      </c>
      <c r="K22" s="657"/>
      <c r="L22" s="657"/>
      <c r="M22" s="657"/>
      <c r="N22" s="657"/>
      <c r="O22" s="657"/>
      <c r="P22" s="657"/>
      <c r="Q22" s="657"/>
      <c r="R22" s="657"/>
      <c r="S22" s="657"/>
    </row>
    <row r="23" spans="1:19">
      <c r="A23" s="213"/>
      <c r="B23" s="206"/>
      <c r="C23" s="236"/>
      <c r="D23" s="207"/>
      <c r="E23" s="207"/>
      <c r="F23" s="234"/>
      <c r="G23" s="236"/>
      <c r="H23" s="238"/>
      <c r="I23" s="54" t="str">
        <f t="shared" si="0"/>
        <v/>
      </c>
      <c r="J23" s="126" t="str">
        <f t="shared" si="1"/>
        <v/>
      </c>
      <c r="K23" s="657"/>
      <c r="L23" s="657"/>
      <c r="M23" s="657"/>
      <c r="N23" s="657"/>
      <c r="O23" s="657"/>
      <c r="P23" s="657"/>
      <c r="Q23" s="657"/>
      <c r="R23" s="657"/>
      <c r="S23" s="657"/>
    </row>
    <row r="24" spans="1:19">
      <c r="A24" s="213"/>
      <c r="B24" s="206"/>
      <c r="C24" s="236"/>
      <c r="D24" s="207"/>
      <c r="E24" s="207"/>
      <c r="F24" s="234"/>
      <c r="G24" s="236"/>
      <c r="H24" s="238"/>
      <c r="I24" s="54" t="str">
        <f t="shared" si="0"/>
        <v/>
      </c>
      <c r="J24" s="126" t="str">
        <f t="shared" si="1"/>
        <v/>
      </c>
      <c r="K24" s="657"/>
      <c r="L24" s="657"/>
      <c r="M24" s="657"/>
      <c r="N24" s="657"/>
      <c r="O24" s="657"/>
      <c r="P24" s="657"/>
      <c r="Q24" s="657"/>
      <c r="R24" s="657"/>
      <c r="S24" s="657"/>
    </row>
    <row r="25" spans="1:19">
      <c r="A25" s="213"/>
      <c r="B25" s="206"/>
      <c r="C25" s="236"/>
      <c r="D25" s="207"/>
      <c r="E25" s="207"/>
      <c r="F25" s="234"/>
      <c r="G25" s="236"/>
      <c r="H25" s="238"/>
      <c r="I25" s="54" t="str">
        <f t="shared" si="0"/>
        <v/>
      </c>
      <c r="J25" s="126" t="str">
        <f t="shared" si="1"/>
        <v/>
      </c>
      <c r="K25" s="657"/>
      <c r="L25" s="657"/>
      <c r="M25" s="657"/>
      <c r="N25" s="657"/>
      <c r="O25" s="657"/>
      <c r="P25" s="657"/>
      <c r="Q25" s="657"/>
      <c r="R25" s="657"/>
      <c r="S25" s="657"/>
    </row>
    <row r="26" spans="1:19">
      <c r="A26" s="213"/>
      <c r="B26" s="206"/>
      <c r="C26" s="236"/>
      <c r="D26" s="207"/>
      <c r="E26" s="207"/>
      <c r="F26" s="234"/>
      <c r="G26" s="236"/>
      <c r="H26" s="238"/>
      <c r="I26" s="54" t="str">
        <f t="shared" si="0"/>
        <v/>
      </c>
      <c r="J26" s="126" t="str">
        <f t="shared" si="1"/>
        <v/>
      </c>
      <c r="K26" s="657"/>
      <c r="L26" s="657"/>
      <c r="M26" s="657"/>
      <c r="N26" s="657"/>
      <c r="O26" s="657"/>
      <c r="P26" s="657"/>
      <c r="Q26" s="657"/>
      <c r="R26" s="657"/>
      <c r="S26" s="657"/>
    </row>
    <row r="27" spans="1:19">
      <c r="A27" s="213"/>
      <c r="B27" s="206"/>
      <c r="C27" s="236"/>
      <c r="D27" s="207"/>
      <c r="E27" s="207"/>
      <c r="F27" s="234"/>
      <c r="G27" s="236"/>
      <c r="H27" s="238"/>
      <c r="I27" s="54" t="str">
        <f t="shared" si="0"/>
        <v/>
      </c>
      <c r="J27" s="126" t="str">
        <f t="shared" si="1"/>
        <v/>
      </c>
      <c r="K27" s="657"/>
      <c r="L27" s="657"/>
      <c r="M27" s="657"/>
      <c r="N27" s="657"/>
      <c r="O27" s="657"/>
      <c r="P27" s="657"/>
      <c r="Q27" s="657"/>
      <c r="R27" s="657"/>
      <c r="S27" s="657"/>
    </row>
    <row r="28" spans="1:19" ht="13.5" thickBot="1">
      <c r="A28" s="214"/>
      <c r="B28" s="209"/>
      <c r="C28" s="240"/>
      <c r="D28" s="210"/>
      <c r="E28" s="210"/>
      <c r="F28" s="239"/>
      <c r="G28" s="240"/>
      <c r="H28" s="241"/>
      <c r="I28" s="55" t="str">
        <f t="shared" si="0"/>
        <v/>
      </c>
      <c r="J28" s="129" t="str">
        <f t="shared" si="1"/>
        <v/>
      </c>
      <c r="K28" s="657"/>
      <c r="L28" s="657"/>
      <c r="M28" s="657"/>
      <c r="N28" s="657"/>
      <c r="O28" s="657"/>
      <c r="P28" s="657"/>
      <c r="Q28" s="657"/>
      <c r="R28" s="657"/>
      <c r="S28" s="657"/>
    </row>
    <row r="29" spans="1:19" ht="15.75">
      <c r="A29" s="657"/>
      <c r="B29" s="657"/>
      <c r="C29" s="657"/>
      <c r="D29" s="657"/>
      <c r="E29" s="657"/>
      <c r="F29" s="657"/>
      <c r="G29" s="657"/>
      <c r="H29" s="657"/>
      <c r="I29" s="657"/>
      <c r="J29" s="724" t="s">
        <v>523</v>
      </c>
      <c r="K29" s="657"/>
      <c r="L29" s="677" t="s">
        <v>1059</v>
      </c>
      <c r="M29" s="657"/>
      <c r="N29" s="657"/>
      <c r="O29" s="677"/>
      <c r="P29" s="657"/>
      <c r="Q29" s="657"/>
      <c r="R29" s="657"/>
      <c r="S29" s="657"/>
    </row>
    <row r="30" spans="1:19" ht="15.75">
      <c r="A30" s="657"/>
      <c r="B30" s="657"/>
      <c r="C30" s="657"/>
      <c r="D30" s="657"/>
      <c r="E30" s="657"/>
      <c r="F30" s="657"/>
      <c r="G30" s="657"/>
      <c r="H30" s="657"/>
      <c r="I30" s="657"/>
      <c r="J30" s="657"/>
      <c r="K30" s="743"/>
      <c r="L30" s="677" t="s">
        <v>1060</v>
      </c>
      <c r="M30" s="677"/>
      <c r="N30" s="657"/>
      <c r="O30" s="677"/>
      <c r="P30" s="657"/>
      <c r="Q30" s="657"/>
      <c r="R30" s="657"/>
      <c r="S30" s="657"/>
    </row>
    <row r="31" spans="1:19">
      <c r="A31" s="657"/>
      <c r="B31" s="743"/>
      <c r="C31" s="677"/>
      <c r="D31" s="677"/>
      <c r="E31" s="677"/>
      <c r="F31" s="657"/>
      <c r="G31" s="657"/>
      <c r="H31" s="657"/>
      <c r="I31" s="657"/>
      <c r="J31" s="724" t="s">
        <v>224</v>
      </c>
      <c r="K31" s="657"/>
      <c r="L31" s="657"/>
      <c r="M31" s="657"/>
      <c r="N31" s="657"/>
      <c r="O31" s="657"/>
      <c r="P31" s="657"/>
      <c r="Q31" s="657"/>
      <c r="R31" s="657"/>
      <c r="S31" s="657"/>
    </row>
    <row r="32" spans="1:19">
      <c r="A32" s="657"/>
      <c r="B32" s="657"/>
      <c r="C32" s="657"/>
      <c r="D32" s="657"/>
      <c r="E32" s="657"/>
      <c r="F32" s="657"/>
      <c r="G32" s="657"/>
      <c r="H32" s="657"/>
      <c r="I32" s="657"/>
      <c r="J32" s="823" t="s">
        <v>191</v>
      </c>
      <c r="K32" s="827"/>
      <c r="L32" s="827"/>
      <c r="M32" s="827"/>
      <c r="N32" s="827"/>
      <c r="O32" s="827"/>
      <c r="P32" s="827"/>
      <c r="Q32" s="827"/>
      <c r="R32" s="827"/>
      <c r="S32" s="657"/>
    </row>
    <row r="33" spans="1:19">
      <c r="A33" s="657"/>
      <c r="B33" s="657"/>
      <c r="C33" s="657"/>
      <c r="D33" s="657"/>
      <c r="E33" s="657"/>
      <c r="F33" s="657"/>
      <c r="G33" s="657"/>
      <c r="H33" s="657"/>
      <c r="I33" s="740"/>
      <c r="J33" s="827"/>
      <c r="K33" s="827"/>
      <c r="L33" s="827"/>
      <c r="M33" s="827"/>
      <c r="N33" s="827"/>
      <c r="O33" s="827"/>
      <c r="P33" s="827"/>
      <c r="Q33" s="827"/>
      <c r="R33" s="827"/>
      <c r="S33" s="657"/>
    </row>
    <row r="34" spans="1:19">
      <c r="A34" s="657"/>
      <c r="B34" s="657"/>
      <c r="C34" s="657"/>
      <c r="D34" s="657"/>
      <c r="E34" s="657"/>
      <c r="F34" s="657"/>
      <c r="G34" s="657"/>
      <c r="H34" s="657"/>
      <c r="I34" s="740"/>
      <c r="J34" s="827"/>
      <c r="K34" s="827"/>
      <c r="L34" s="827"/>
      <c r="M34" s="827"/>
      <c r="N34" s="827"/>
      <c r="O34" s="827"/>
      <c r="P34" s="827"/>
      <c r="Q34" s="827"/>
      <c r="R34" s="827"/>
      <c r="S34" s="657"/>
    </row>
    <row r="35" spans="1:19">
      <c r="A35" s="657"/>
      <c r="B35" s="657"/>
      <c r="C35" s="657"/>
      <c r="D35" s="657"/>
      <c r="E35" s="657"/>
      <c r="F35" s="657"/>
      <c r="G35" s="657"/>
      <c r="H35" s="657"/>
      <c r="I35" s="657"/>
      <c r="J35" s="657"/>
      <c r="K35" s="657"/>
      <c r="L35" s="657"/>
      <c r="M35" s="657"/>
      <c r="N35" s="657"/>
      <c r="O35" s="657"/>
      <c r="P35" s="657"/>
      <c r="Q35" s="657"/>
      <c r="R35" s="657"/>
      <c r="S35" s="657"/>
    </row>
    <row r="36" spans="1:19">
      <c r="A36" s="657"/>
      <c r="B36" s="657"/>
      <c r="C36" s="657"/>
      <c r="D36" s="657"/>
      <c r="E36" s="657"/>
      <c r="F36" s="657"/>
      <c r="G36" s="657"/>
      <c r="H36" s="657"/>
      <c r="I36" s="657"/>
      <c r="J36" s="657"/>
      <c r="K36" s="657"/>
      <c r="L36" s="657"/>
      <c r="M36" s="657"/>
      <c r="N36" s="657"/>
      <c r="O36" s="657"/>
      <c r="P36" s="657"/>
      <c r="Q36" s="657"/>
      <c r="R36" s="657"/>
      <c r="S36" s="657"/>
    </row>
    <row r="37" spans="1:19">
      <c r="A37" s="657"/>
      <c r="B37" s="657"/>
      <c r="C37" s="657"/>
      <c r="D37" s="657"/>
      <c r="E37" s="657"/>
      <c r="F37" s="657"/>
      <c r="G37" s="657"/>
      <c r="H37" s="657"/>
      <c r="I37" s="657"/>
      <c r="J37" s="657"/>
      <c r="K37" s="657"/>
      <c r="L37" s="657"/>
      <c r="M37" s="657"/>
      <c r="N37" s="657"/>
      <c r="O37" s="657"/>
      <c r="P37" s="657"/>
      <c r="Q37" s="657"/>
      <c r="R37" s="657"/>
      <c r="S37" s="657"/>
    </row>
    <row r="38" spans="1:19">
      <c r="A38" s="657"/>
      <c r="B38" s="657"/>
      <c r="C38" s="657"/>
      <c r="D38" s="657"/>
      <c r="E38" s="657"/>
      <c r="F38" s="657"/>
      <c r="G38" s="657"/>
      <c r="H38" s="657"/>
      <c r="I38" s="657"/>
      <c r="J38" s="657"/>
      <c r="K38" s="657"/>
      <c r="L38" s="657"/>
      <c r="M38" s="657"/>
      <c r="N38" s="657"/>
      <c r="O38" s="657"/>
      <c r="P38" s="657"/>
      <c r="Q38" s="657"/>
      <c r="R38" s="657"/>
      <c r="S38" s="657"/>
    </row>
    <row r="39" spans="1:19">
      <c r="A39" s="657"/>
      <c r="B39" s="657"/>
      <c r="C39" s="657"/>
      <c r="D39" s="657"/>
      <c r="E39" s="657"/>
      <c r="F39" s="657"/>
      <c r="G39" s="657"/>
      <c r="H39" s="657"/>
      <c r="I39" s="657"/>
      <c r="J39" s="657"/>
      <c r="K39" s="657"/>
      <c r="L39" s="657"/>
      <c r="M39" s="657"/>
      <c r="N39" s="657"/>
      <c r="O39" s="657"/>
      <c r="P39" s="657"/>
      <c r="Q39" s="657"/>
      <c r="R39" s="657"/>
      <c r="S39" s="657"/>
    </row>
    <row r="40" spans="1:19">
      <c r="A40" s="657"/>
      <c r="B40" s="657"/>
      <c r="C40" s="657"/>
      <c r="D40" s="657"/>
      <c r="E40" s="657"/>
      <c r="F40" s="657"/>
      <c r="G40" s="657"/>
      <c r="H40" s="657"/>
      <c r="I40" s="657"/>
      <c r="J40" s="657"/>
      <c r="K40" s="657"/>
      <c r="L40" s="657"/>
      <c r="M40" s="657"/>
      <c r="N40" s="657"/>
      <c r="O40" s="657"/>
      <c r="P40" s="657"/>
      <c r="Q40" s="657"/>
      <c r="R40" s="657"/>
      <c r="S40" s="657"/>
    </row>
    <row r="41" spans="1:19">
      <c r="A41" s="657"/>
      <c r="B41" s="657"/>
      <c r="C41" s="657"/>
      <c r="D41" s="657"/>
      <c r="E41" s="657"/>
      <c r="F41" s="657"/>
      <c r="G41" s="657"/>
      <c r="H41" s="657"/>
      <c r="I41" s="657"/>
      <c r="J41" s="657"/>
      <c r="K41" s="657"/>
      <c r="L41" s="657"/>
      <c r="M41" s="657"/>
      <c r="N41" s="657"/>
      <c r="O41" s="657"/>
      <c r="P41" s="657"/>
      <c r="Q41" s="657"/>
      <c r="R41" s="657"/>
      <c r="S41" s="657"/>
    </row>
    <row r="42" spans="1:19">
      <c r="A42" s="657"/>
      <c r="B42" s="657"/>
      <c r="C42" s="657"/>
      <c r="D42" s="657"/>
      <c r="E42" s="657"/>
      <c r="F42" s="657"/>
      <c r="G42" s="657"/>
      <c r="H42" s="657"/>
      <c r="I42" s="657"/>
      <c r="J42" s="657"/>
      <c r="K42" s="657"/>
      <c r="L42" s="657"/>
      <c r="M42" s="657"/>
      <c r="N42" s="657"/>
      <c r="O42" s="657"/>
      <c r="P42" s="657"/>
      <c r="Q42" s="657"/>
      <c r="R42" s="657"/>
      <c r="S42" s="657"/>
    </row>
    <row r="43" spans="1:19">
      <c r="A43" s="657"/>
      <c r="B43" s="657"/>
      <c r="C43" s="657"/>
      <c r="D43" s="657"/>
      <c r="E43" s="657"/>
      <c r="F43" s="657"/>
      <c r="G43" s="657"/>
      <c r="H43" s="657"/>
      <c r="I43" s="657"/>
      <c r="J43" s="657"/>
      <c r="K43" s="657"/>
      <c r="L43" s="657"/>
      <c r="M43" s="657"/>
      <c r="N43" s="657"/>
      <c r="O43" s="657"/>
      <c r="P43" s="657"/>
      <c r="Q43" s="657"/>
      <c r="R43" s="657"/>
      <c r="S43" s="657"/>
    </row>
    <row r="44" spans="1:19">
      <c r="A44" s="657"/>
      <c r="B44" s="657"/>
      <c r="C44" s="657"/>
      <c r="D44" s="657"/>
      <c r="E44" s="657"/>
      <c r="F44" s="657"/>
      <c r="G44" s="657"/>
      <c r="H44" s="657"/>
      <c r="I44" s="657"/>
      <c r="J44" s="657"/>
      <c r="K44" s="657"/>
      <c r="L44" s="657"/>
      <c r="M44" s="657"/>
      <c r="N44" s="657"/>
      <c r="O44" s="657"/>
      <c r="P44" s="657"/>
      <c r="Q44" s="657"/>
      <c r="R44" s="657"/>
      <c r="S44" s="657"/>
    </row>
    <row r="45" spans="1:19">
      <c r="A45" s="657"/>
      <c r="B45" s="657"/>
      <c r="C45" s="657"/>
      <c r="D45" s="657"/>
      <c r="E45" s="657"/>
      <c r="F45" s="657"/>
      <c r="G45" s="657"/>
      <c r="H45" s="657"/>
      <c r="I45" s="657"/>
      <c r="J45" s="657"/>
      <c r="K45" s="657"/>
      <c r="L45" s="657"/>
      <c r="M45" s="657"/>
      <c r="N45" s="657"/>
      <c r="O45" s="657"/>
      <c r="P45" s="657"/>
      <c r="Q45" s="657"/>
      <c r="R45" s="657"/>
      <c r="S45" s="657"/>
    </row>
    <row r="46" spans="1:19">
      <c r="A46" s="657"/>
      <c r="B46" s="657"/>
      <c r="C46" s="657"/>
      <c r="D46" s="657"/>
      <c r="E46" s="657"/>
      <c r="F46" s="657"/>
      <c r="G46" s="657"/>
      <c r="H46" s="657"/>
      <c r="I46" s="657"/>
      <c r="J46" s="657"/>
      <c r="K46" s="657"/>
      <c r="L46" s="657"/>
      <c r="M46" s="657"/>
      <c r="N46" s="657"/>
      <c r="O46" s="657"/>
      <c r="P46" s="657"/>
      <c r="Q46" s="657"/>
      <c r="R46" s="657"/>
      <c r="S46" s="657"/>
    </row>
    <row r="47" spans="1:19">
      <c r="A47" s="657"/>
      <c r="B47" s="657"/>
      <c r="C47" s="657"/>
      <c r="D47" s="657"/>
      <c r="E47" s="657"/>
      <c r="F47" s="657"/>
      <c r="G47" s="657"/>
      <c r="H47" s="657"/>
      <c r="I47" s="657"/>
      <c r="J47" s="657"/>
      <c r="K47" s="657"/>
      <c r="L47" s="657"/>
      <c r="M47" s="657"/>
      <c r="N47" s="657"/>
      <c r="O47" s="657"/>
      <c r="P47" s="657"/>
      <c r="Q47" s="657"/>
      <c r="R47" s="657"/>
      <c r="S47" s="657"/>
    </row>
    <row r="48" spans="1:19">
      <c r="A48" s="657"/>
      <c r="B48" s="657"/>
      <c r="C48" s="657"/>
      <c r="D48" s="657"/>
      <c r="E48" s="657"/>
      <c r="F48" s="657"/>
      <c r="G48" s="657"/>
      <c r="H48" s="657"/>
      <c r="I48" s="657"/>
      <c r="J48" s="657"/>
      <c r="K48" s="657"/>
      <c r="L48" s="657"/>
      <c r="M48" s="657"/>
      <c r="N48" s="657"/>
      <c r="O48" s="657"/>
      <c r="P48" s="657"/>
      <c r="Q48" s="657"/>
      <c r="R48" s="657"/>
      <c r="S48" s="657"/>
    </row>
    <row r="49" spans="1:19">
      <c r="A49" s="657"/>
      <c r="B49" s="657"/>
      <c r="C49" s="657"/>
      <c r="D49" s="657"/>
      <c r="E49" s="657"/>
      <c r="F49" s="657"/>
      <c r="G49" s="657"/>
      <c r="H49" s="657"/>
      <c r="I49" s="657"/>
      <c r="J49" s="657"/>
      <c r="K49" s="657"/>
      <c r="L49" s="657"/>
      <c r="M49" s="657"/>
      <c r="N49" s="657"/>
      <c r="O49" s="657"/>
      <c r="P49" s="657"/>
      <c r="Q49" s="657"/>
      <c r="R49" s="657"/>
      <c r="S49" s="657"/>
    </row>
    <row r="50" spans="1:19">
      <c r="A50" s="657"/>
      <c r="B50" s="657"/>
      <c r="C50" s="657"/>
      <c r="D50" s="657"/>
      <c r="E50" s="657"/>
      <c r="F50" s="657"/>
      <c r="G50" s="657"/>
      <c r="H50" s="657"/>
      <c r="I50" s="657"/>
      <c r="J50" s="657"/>
      <c r="K50" s="657"/>
      <c r="L50" s="657"/>
      <c r="M50" s="657"/>
      <c r="N50" s="657"/>
      <c r="O50" s="657"/>
      <c r="P50" s="657"/>
      <c r="Q50" s="657"/>
      <c r="R50" s="657"/>
      <c r="S50" s="657"/>
    </row>
    <row r="51" spans="1:19">
      <c r="A51" s="657"/>
      <c r="B51" s="657"/>
      <c r="C51" s="657"/>
      <c r="D51" s="657"/>
      <c r="E51" s="657"/>
      <c r="F51" s="657"/>
      <c r="G51" s="657"/>
      <c r="H51" s="657"/>
      <c r="I51" s="657"/>
      <c r="J51" s="657"/>
      <c r="K51" s="657"/>
      <c r="L51" s="657"/>
      <c r="M51" s="657"/>
      <c r="N51" s="657"/>
      <c r="O51" s="657"/>
      <c r="P51" s="657"/>
      <c r="Q51" s="657"/>
      <c r="R51" s="657"/>
      <c r="S51" s="657"/>
    </row>
    <row r="52" spans="1:19">
      <c r="A52" s="657"/>
      <c r="B52" s="657"/>
      <c r="C52" s="657"/>
      <c r="D52" s="657"/>
      <c r="E52" s="657"/>
      <c r="F52" s="657"/>
      <c r="G52" s="657"/>
      <c r="H52" s="657"/>
      <c r="I52" s="657"/>
      <c r="J52" s="657"/>
      <c r="K52" s="657"/>
      <c r="L52" s="657"/>
      <c r="M52" s="657"/>
      <c r="N52" s="657"/>
      <c r="O52" s="657"/>
      <c r="P52" s="657"/>
      <c r="Q52" s="657"/>
      <c r="R52" s="657"/>
      <c r="S52" s="657"/>
    </row>
    <row r="53" spans="1:19">
      <c r="A53" s="657"/>
      <c r="B53" s="657"/>
      <c r="C53" s="657"/>
      <c r="D53" s="657"/>
      <c r="E53" s="657"/>
      <c r="F53" s="657"/>
      <c r="G53" s="657"/>
      <c r="H53" s="657"/>
      <c r="I53" s="657"/>
      <c r="J53" s="657"/>
      <c r="K53" s="657"/>
      <c r="L53" s="657"/>
      <c r="M53" s="657"/>
      <c r="N53" s="657"/>
      <c r="O53" s="657"/>
      <c r="P53" s="657"/>
      <c r="Q53" s="657"/>
      <c r="R53" s="657"/>
      <c r="S53" s="657"/>
    </row>
    <row r="54" spans="1:19">
      <c r="A54" s="657"/>
      <c r="B54" s="657"/>
      <c r="C54" s="657"/>
      <c r="D54" s="657"/>
      <c r="E54" s="657"/>
      <c r="F54" s="657"/>
      <c r="G54" s="657"/>
      <c r="H54" s="657"/>
      <c r="I54" s="657"/>
      <c r="J54" s="657"/>
      <c r="K54" s="657"/>
      <c r="L54" s="657"/>
      <c r="M54" s="657"/>
      <c r="N54" s="657"/>
      <c r="O54" s="657"/>
      <c r="P54" s="657"/>
      <c r="Q54" s="657"/>
      <c r="R54" s="657"/>
      <c r="S54" s="657"/>
    </row>
    <row r="55" spans="1:19">
      <c r="A55" s="657"/>
      <c r="B55" s="657"/>
      <c r="C55" s="657"/>
      <c r="D55" s="657"/>
      <c r="E55" s="657"/>
      <c r="F55" s="657"/>
      <c r="G55" s="657"/>
      <c r="H55" s="657"/>
      <c r="I55" s="657"/>
      <c r="J55" s="657"/>
      <c r="K55" s="657"/>
      <c r="L55" s="657"/>
      <c r="M55" s="657"/>
      <c r="N55" s="657"/>
      <c r="O55" s="657"/>
      <c r="P55" s="657"/>
      <c r="Q55" s="657"/>
      <c r="R55" s="657"/>
      <c r="S55" s="657"/>
    </row>
    <row r="56" spans="1:19">
      <c r="A56" s="657"/>
      <c r="B56" s="657"/>
      <c r="C56" s="657"/>
      <c r="D56" s="657"/>
      <c r="E56" s="657"/>
      <c r="F56" s="657"/>
      <c r="G56" s="657"/>
      <c r="H56" s="657"/>
      <c r="I56" s="657"/>
      <c r="J56" s="657"/>
      <c r="K56" s="657"/>
      <c r="L56" s="657"/>
      <c r="M56" s="657"/>
      <c r="N56" s="657"/>
      <c r="O56" s="657"/>
      <c r="P56" s="657"/>
      <c r="Q56" s="657"/>
      <c r="R56" s="657"/>
      <c r="S56" s="657"/>
    </row>
    <row r="57" spans="1:19">
      <c r="A57" s="657"/>
      <c r="B57" s="657"/>
      <c r="C57" s="657"/>
      <c r="D57" s="657"/>
      <c r="E57" s="657"/>
      <c r="F57" s="657"/>
      <c r="G57" s="657"/>
      <c r="H57" s="657"/>
      <c r="I57" s="657"/>
      <c r="J57" s="657"/>
      <c r="K57" s="657"/>
      <c r="L57" s="657"/>
      <c r="M57" s="657"/>
      <c r="N57" s="657"/>
      <c r="O57" s="657"/>
      <c r="P57" s="657"/>
      <c r="Q57" s="657"/>
      <c r="R57" s="657"/>
      <c r="S57" s="657"/>
    </row>
    <row r="58" spans="1:19">
      <c r="A58" s="657"/>
      <c r="B58" s="657"/>
      <c r="C58" s="657"/>
      <c r="D58" s="657"/>
      <c r="E58" s="657"/>
      <c r="F58" s="657"/>
      <c r="G58" s="657"/>
      <c r="H58" s="657"/>
      <c r="I58" s="657"/>
      <c r="J58" s="657"/>
      <c r="K58" s="657"/>
      <c r="L58" s="657"/>
      <c r="M58" s="657"/>
      <c r="N58" s="657"/>
      <c r="O58" s="657"/>
      <c r="P58" s="657"/>
      <c r="Q58" s="657"/>
      <c r="R58" s="657"/>
      <c r="S58" s="657"/>
    </row>
    <row r="59" spans="1:19">
      <c r="A59" s="657"/>
      <c r="B59" s="657"/>
      <c r="C59" s="657"/>
      <c r="D59" s="657"/>
      <c r="E59" s="657"/>
      <c r="F59" s="657"/>
      <c r="G59" s="657"/>
      <c r="H59" s="657"/>
      <c r="I59" s="657"/>
      <c r="J59" s="657"/>
      <c r="K59" s="657"/>
      <c r="L59" s="657"/>
      <c r="M59" s="657"/>
      <c r="N59" s="657"/>
      <c r="O59" s="657"/>
      <c r="P59" s="657"/>
      <c r="Q59" s="657"/>
      <c r="R59" s="657"/>
      <c r="S59" s="657"/>
    </row>
    <row r="60" spans="1:19">
      <c r="A60" s="657"/>
      <c r="B60" s="657"/>
      <c r="C60" s="657"/>
      <c r="D60" s="657"/>
      <c r="E60" s="657"/>
      <c r="F60" s="657"/>
      <c r="G60" s="657"/>
      <c r="H60" s="657"/>
      <c r="I60" s="657"/>
      <c r="J60" s="657"/>
      <c r="K60" s="657"/>
      <c r="L60" s="657"/>
      <c r="M60" s="657"/>
      <c r="N60" s="657"/>
      <c r="O60" s="657"/>
      <c r="P60" s="657"/>
      <c r="Q60" s="657"/>
      <c r="R60" s="657"/>
      <c r="S60" s="657"/>
    </row>
    <row r="61" spans="1:19">
      <c r="A61" s="657"/>
      <c r="B61" s="657"/>
      <c r="C61" s="657"/>
      <c r="D61" s="657"/>
      <c r="E61" s="657"/>
      <c r="F61" s="657"/>
      <c r="G61" s="657"/>
      <c r="H61" s="657"/>
      <c r="I61" s="657"/>
      <c r="J61" s="657"/>
      <c r="K61" s="657"/>
      <c r="L61" s="657"/>
      <c r="M61" s="657"/>
      <c r="N61" s="657"/>
      <c r="O61" s="657"/>
      <c r="P61" s="657"/>
      <c r="Q61" s="657"/>
      <c r="R61" s="657"/>
      <c r="S61" s="657"/>
    </row>
    <row r="62" spans="1:19">
      <c r="A62" s="657"/>
      <c r="B62" s="657"/>
      <c r="C62" s="657"/>
      <c r="D62" s="657"/>
      <c r="E62" s="657"/>
      <c r="F62" s="657"/>
      <c r="G62" s="657"/>
      <c r="H62" s="657"/>
      <c r="I62" s="657"/>
      <c r="J62" s="657"/>
      <c r="K62" s="657"/>
      <c r="L62" s="657"/>
      <c r="M62" s="657"/>
      <c r="N62" s="657"/>
      <c r="O62" s="657"/>
      <c r="P62" s="657"/>
      <c r="Q62" s="657"/>
      <c r="R62" s="657"/>
      <c r="S62" s="657"/>
    </row>
    <row r="63" spans="1:19">
      <c r="A63" s="657"/>
      <c r="B63" s="657"/>
      <c r="C63" s="657"/>
      <c r="D63" s="657"/>
      <c r="E63" s="657"/>
      <c r="F63" s="657"/>
      <c r="G63" s="657"/>
      <c r="H63" s="657"/>
      <c r="I63" s="657"/>
      <c r="J63" s="657"/>
      <c r="K63" s="657"/>
      <c r="L63" s="657"/>
      <c r="M63" s="657"/>
      <c r="N63" s="657"/>
      <c r="O63" s="657"/>
      <c r="P63" s="657"/>
      <c r="Q63" s="657"/>
      <c r="R63" s="657"/>
      <c r="S63" s="657"/>
    </row>
    <row r="64" spans="1:19">
      <c r="A64" s="657"/>
      <c r="B64" s="657"/>
      <c r="C64" s="657"/>
      <c r="D64" s="657"/>
      <c r="E64" s="657"/>
      <c r="F64" s="657"/>
      <c r="G64" s="657"/>
      <c r="H64" s="657"/>
      <c r="I64" s="657"/>
      <c r="J64" s="657"/>
      <c r="K64" s="657"/>
      <c r="L64" s="657"/>
      <c r="M64" s="657"/>
      <c r="N64" s="657"/>
      <c r="O64" s="657"/>
      <c r="P64" s="657"/>
      <c r="Q64" s="657"/>
      <c r="R64" s="657"/>
      <c r="S64" s="657"/>
    </row>
    <row r="65" spans="1:19">
      <c r="A65" s="657"/>
      <c r="B65" s="657"/>
      <c r="C65" s="657"/>
      <c r="D65" s="657"/>
      <c r="E65" s="657"/>
      <c r="F65" s="657"/>
      <c r="G65" s="657"/>
      <c r="H65" s="657"/>
      <c r="I65" s="657"/>
      <c r="J65" s="657"/>
      <c r="K65" s="657"/>
      <c r="L65" s="657"/>
      <c r="M65" s="657"/>
      <c r="N65" s="657"/>
      <c r="O65" s="657"/>
      <c r="P65" s="657"/>
      <c r="Q65" s="657"/>
      <c r="R65" s="657"/>
      <c r="S65" s="657"/>
    </row>
    <row r="66" spans="1:19">
      <c r="A66" s="657"/>
      <c r="B66" s="657"/>
      <c r="C66" s="657"/>
      <c r="D66" s="657"/>
      <c r="E66" s="657"/>
      <c r="F66" s="657"/>
      <c r="G66" s="657"/>
      <c r="H66" s="657"/>
      <c r="I66" s="657"/>
      <c r="J66" s="657"/>
      <c r="K66" s="657"/>
      <c r="L66" s="657"/>
      <c r="M66" s="657"/>
      <c r="N66" s="657"/>
      <c r="O66" s="657"/>
      <c r="P66" s="657"/>
      <c r="Q66" s="657"/>
      <c r="R66" s="657"/>
      <c r="S66" s="657"/>
    </row>
    <row r="67" spans="1:19">
      <c r="A67" s="657"/>
      <c r="B67" s="657"/>
      <c r="C67" s="657"/>
      <c r="D67" s="657"/>
      <c r="E67" s="657"/>
      <c r="F67" s="657"/>
      <c r="G67" s="657"/>
      <c r="H67" s="657"/>
      <c r="I67" s="657"/>
      <c r="J67" s="657"/>
      <c r="K67" s="657"/>
      <c r="L67" s="657"/>
      <c r="M67" s="657"/>
      <c r="N67" s="657"/>
      <c r="O67" s="657"/>
      <c r="P67" s="657"/>
      <c r="Q67" s="657"/>
      <c r="R67" s="657"/>
      <c r="S67" s="657"/>
    </row>
    <row r="68" spans="1:19">
      <c r="A68" s="657"/>
      <c r="B68" s="657"/>
      <c r="C68" s="657"/>
      <c r="D68" s="657"/>
      <c r="E68" s="657"/>
      <c r="F68" s="657"/>
      <c r="G68" s="657"/>
      <c r="H68" s="657"/>
      <c r="I68" s="657"/>
      <c r="J68" s="657"/>
      <c r="K68" s="657"/>
      <c r="L68" s="657"/>
      <c r="M68" s="657"/>
      <c r="N68" s="657"/>
      <c r="O68" s="657"/>
      <c r="P68" s="657"/>
      <c r="Q68" s="657"/>
      <c r="R68" s="657"/>
      <c r="S68" s="657"/>
    </row>
    <row r="69" spans="1:19">
      <c r="A69" s="657"/>
      <c r="B69" s="657"/>
      <c r="C69" s="657"/>
      <c r="D69" s="657"/>
      <c r="E69" s="657"/>
      <c r="F69" s="657"/>
      <c r="G69" s="657"/>
      <c r="H69" s="657"/>
      <c r="I69" s="657"/>
      <c r="J69" s="657"/>
      <c r="K69" s="657"/>
      <c r="L69" s="657"/>
      <c r="M69" s="657"/>
      <c r="N69" s="657"/>
      <c r="O69" s="657"/>
      <c r="P69" s="657"/>
      <c r="Q69" s="657"/>
      <c r="R69" s="657"/>
      <c r="S69" s="657"/>
    </row>
    <row r="70" spans="1:19">
      <c r="A70" s="657"/>
      <c r="B70" s="657"/>
      <c r="C70" s="657"/>
      <c r="D70" s="657"/>
      <c r="E70" s="657"/>
      <c r="F70" s="657"/>
      <c r="G70" s="657"/>
      <c r="H70" s="657"/>
      <c r="I70" s="657"/>
      <c r="J70" s="657"/>
      <c r="K70" s="657"/>
      <c r="L70" s="657"/>
      <c r="M70" s="657"/>
      <c r="N70" s="657"/>
      <c r="O70" s="657"/>
      <c r="P70" s="657"/>
      <c r="Q70" s="657"/>
      <c r="R70" s="657"/>
      <c r="S70" s="657"/>
    </row>
    <row r="71" spans="1:19">
      <c r="A71" s="657"/>
      <c r="B71" s="657"/>
      <c r="C71" s="657"/>
      <c r="D71" s="657"/>
      <c r="E71" s="657"/>
      <c r="F71" s="657"/>
      <c r="G71" s="657"/>
      <c r="H71" s="657"/>
      <c r="I71" s="657"/>
      <c r="J71" s="657"/>
      <c r="K71" s="657"/>
      <c r="L71" s="657"/>
      <c r="M71" s="657"/>
      <c r="N71" s="657"/>
      <c r="O71" s="657"/>
      <c r="P71" s="657"/>
      <c r="Q71" s="657"/>
      <c r="R71" s="657"/>
      <c r="S71" s="657"/>
    </row>
    <row r="72" spans="1:19">
      <c r="A72" s="657"/>
      <c r="B72" s="657"/>
      <c r="C72" s="657"/>
      <c r="D72" s="657"/>
      <c r="E72" s="657"/>
      <c r="F72" s="657"/>
      <c r="G72" s="657"/>
      <c r="H72" s="657"/>
      <c r="I72" s="657"/>
      <c r="J72" s="657"/>
      <c r="K72" s="657"/>
      <c r="L72" s="657"/>
      <c r="M72" s="657"/>
      <c r="N72" s="657"/>
      <c r="O72" s="657"/>
      <c r="P72" s="657"/>
      <c r="Q72" s="657"/>
      <c r="R72" s="657"/>
      <c r="S72" s="657"/>
    </row>
    <row r="73" spans="1:19">
      <c r="A73" s="657"/>
      <c r="B73" s="657"/>
      <c r="C73" s="657"/>
      <c r="D73" s="657"/>
      <c r="E73" s="657"/>
      <c r="F73" s="657"/>
      <c r="G73" s="657"/>
      <c r="H73" s="657"/>
      <c r="I73" s="657"/>
      <c r="J73" s="657"/>
      <c r="K73" s="657"/>
      <c r="L73" s="657"/>
      <c r="M73" s="657"/>
      <c r="N73" s="657"/>
      <c r="O73" s="657"/>
      <c r="P73" s="657"/>
      <c r="Q73" s="657"/>
      <c r="R73" s="657"/>
      <c r="S73" s="657"/>
    </row>
    <row r="74" spans="1:19">
      <c r="A74" s="657"/>
      <c r="B74" s="657"/>
      <c r="C74" s="657"/>
      <c r="D74" s="657"/>
      <c r="E74" s="657"/>
      <c r="F74" s="657"/>
      <c r="G74" s="657"/>
      <c r="H74" s="657"/>
      <c r="I74" s="657"/>
      <c r="J74" s="657"/>
      <c r="K74" s="657"/>
      <c r="L74" s="657"/>
      <c r="M74" s="657"/>
      <c r="N74" s="657"/>
      <c r="O74" s="657"/>
      <c r="P74" s="657"/>
      <c r="Q74" s="657"/>
      <c r="R74" s="657"/>
      <c r="S74" s="657"/>
    </row>
    <row r="75" spans="1:19">
      <c r="A75" s="657"/>
      <c r="B75" s="657"/>
      <c r="C75" s="657"/>
      <c r="D75" s="657"/>
      <c r="E75" s="657"/>
      <c r="F75" s="657"/>
      <c r="G75" s="657"/>
      <c r="H75" s="657"/>
      <c r="I75" s="657"/>
      <c r="J75" s="657"/>
      <c r="K75" s="657"/>
      <c r="L75" s="657"/>
      <c r="M75" s="657"/>
      <c r="N75" s="657"/>
      <c r="O75" s="657"/>
      <c r="P75" s="657"/>
      <c r="Q75" s="657"/>
      <c r="R75" s="657"/>
      <c r="S75" s="657"/>
    </row>
    <row r="76" spans="1:19">
      <c r="A76" s="657"/>
      <c r="B76" s="657"/>
      <c r="C76" s="657"/>
      <c r="D76" s="657"/>
      <c r="E76" s="657"/>
      <c r="F76" s="657"/>
      <c r="G76" s="657"/>
      <c r="H76" s="657"/>
      <c r="I76" s="657"/>
      <c r="J76" s="657"/>
      <c r="K76" s="657"/>
      <c r="L76" s="657"/>
      <c r="M76" s="657"/>
      <c r="N76" s="657"/>
      <c r="O76" s="657"/>
      <c r="P76" s="657"/>
      <c r="Q76" s="657"/>
      <c r="R76" s="657"/>
      <c r="S76" s="657"/>
    </row>
    <row r="77" spans="1:19">
      <c r="A77" s="657"/>
      <c r="B77" s="657"/>
      <c r="C77" s="657"/>
      <c r="D77" s="657"/>
      <c r="E77" s="657"/>
      <c r="F77" s="657"/>
      <c r="G77" s="657"/>
      <c r="H77" s="657"/>
      <c r="I77" s="657"/>
      <c r="J77" s="657"/>
      <c r="K77" s="657"/>
      <c r="L77" s="657"/>
      <c r="M77" s="657"/>
      <c r="N77" s="657"/>
      <c r="O77" s="657"/>
      <c r="P77" s="657"/>
      <c r="Q77" s="657"/>
      <c r="R77" s="657"/>
      <c r="S77" s="657"/>
    </row>
    <row r="78" spans="1:19">
      <c r="A78" s="657"/>
      <c r="B78" s="657"/>
      <c r="C78" s="657"/>
      <c r="D78" s="657"/>
      <c r="E78" s="657"/>
      <c r="F78" s="657"/>
      <c r="G78" s="657"/>
      <c r="H78" s="657"/>
      <c r="I78" s="657"/>
      <c r="J78" s="657"/>
      <c r="K78" s="657"/>
      <c r="L78" s="657"/>
      <c r="M78" s="657"/>
      <c r="N78" s="657"/>
      <c r="O78" s="657"/>
      <c r="P78" s="657"/>
      <c r="Q78" s="657"/>
      <c r="R78" s="657"/>
      <c r="S78" s="657"/>
    </row>
    <row r="79" spans="1:19">
      <c r="A79" s="657"/>
      <c r="B79" s="657"/>
      <c r="C79" s="657"/>
      <c r="D79" s="657"/>
      <c r="E79" s="657"/>
      <c r="F79" s="657"/>
      <c r="G79" s="657"/>
      <c r="H79" s="657"/>
      <c r="I79" s="657"/>
      <c r="J79" s="657"/>
      <c r="K79" s="657"/>
      <c r="L79" s="657"/>
      <c r="M79" s="657"/>
      <c r="N79" s="657"/>
      <c r="O79" s="657"/>
      <c r="P79" s="657"/>
      <c r="Q79" s="657"/>
      <c r="R79" s="657"/>
      <c r="S79" s="657"/>
    </row>
    <row r="80" spans="1:19">
      <c r="A80" s="657"/>
      <c r="B80" s="657"/>
      <c r="C80" s="657"/>
      <c r="D80" s="657"/>
      <c r="E80" s="657"/>
      <c r="F80" s="657"/>
      <c r="G80" s="657"/>
      <c r="H80" s="657"/>
      <c r="I80" s="657"/>
      <c r="J80" s="657"/>
      <c r="K80" s="657"/>
      <c r="L80" s="657"/>
      <c r="M80" s="657"/>
      <c r="N80" s="657"/>
      <c r="O80" s="657"/>
      <c r="P80" s="657"/>
      <c r="Q80" s="657"/>
      <c r="R80" s="657"/>
      <c r="S80" s="657"/>
    </row>
    <row r="81" spans="1:19">
      <c r="A81" s="657"/>
      <c r="B81" s="657"/>
      <c r="C81" s="657"/>
      <c r="D81" s="657"/>
      <c r="E81" s="657"/>
      <c r="F81" s="657"/>
      <c r="G81" s="657"/>
      <c r="H81" s="657"/>
      <c r="I81" s="657"/>
      <c r="J81" s="657"/>
      <c r="K81" s="657"/>
      <c r="L81" s="657"/>
      <c r="M81" s="657"/>
      <c r="N81" s="657"/>
      <c r="O81" s="657"/>
      <c r="P81" s="657"/>
      <c r="Q81" s="657"/>
      <c r="R81" s="657"/>
      <c r="S81" s="657"/>
    </row>
    <row r="82" spans="1:19">
      <c r="A82" s="657"/>
      <c r="B82" s="657"/>
      <c r="C82" s="657"/>
      <c r="D82" s="657"/>
      <c r="E82" s="657"/>
      <c r="F82" s="657"/>
      <c r="G82" s="657"/>
      <c r="H82" s="657"/>
      <c r="I82" s="657"/>
      <c r="J82" s="657"/>
      <c r="K82" s="657"/>
      <c r="L82" s="657"/>
      <c r="M82" s="657"/>
      <c r="N82" s="657"/>
      <c r="O82" s="657"/>
      <c r="P82" s="657"/>
      <c r="Q82" s="657"/>
      <c r="R82" s="657"/>
      <c r="S82" s="657"/>
    </row>
    <row r="83" spans="1:19">
      <c r="A83" s="657"/>
      <c r="B83" s="657"/>
      <c r="C83" s="657"/>
      <c r="D83" s="657"/>
      <c r="E83" s="657"/>
      <c r="F83" s="657"/>
      <c r="G83" s="657"/>
      <c r="H83" s="657"/>
      <c r="I83" s="657"/>
      <c r="J83" s="657"/>
      <c r="K83" s="657"/>
      <c r="L83" s="657"/>
      <c r="M83" s="657"/>
      <c r="N83" s="657"/>
      <c r="O83" s="657"/>
      <c r="P83" s="657"/>
      <c r="Q83" s="657"/>
      <c r="R83" s="657"/>
      <c r="S83" s="657"/>
    </row>
    <row r="84" spans="1:19">
      <c r="A84" s="657"/>
      <c r="B84" s="657"/>
      <c r="C84" s="657"/>
      <c r="D84" s="657"/>
      <c r="E84" s="657"/>
      <c r="F84" s="657"/>
      <c r="G84" s="657"/>
      <c r="H84" s="657"/>
      <c r="I84" s="657"/>
      <c r="J84" s="657"/>
      <c r="K84" s="657"/>
      <c r="L84" s="657"/>
      <c r="M84" s="657"/>
      <c r="N84" s="657"/>
      <c r="O84" s="657"/>
      <c r="P84" s="657"/>
      <c r="Q84" s="657"/>
      <c r="R84" s="657"/>
      <c r="S84" s="657"/>
    </row>
    <row r="85" spans="1:19">
      <c r="A85" s="657"/>
      <c r="B85" s="657"/>
      <c r="C85" s="657"/>
      <c r="D85" s="657"/>
      <c r="E85" s="657"/>
      <c r="F85" s="657"/>
      <c r="G85" s="657"/>
      <c r="H85" s="657"/>
      <c r="I85" s="657"/>
      <c r="J85" s="657"/>
      <c r="K85" s="657"/>
      <c r="L85" s="657"/>
      <c r="M85" s="657"/>
      <c r="N85" s="657"/>
      <c r="O85" s="657"/>
      <c r="P85" s="657"/>
      <c r="Q85" s="657"/>
      <c r="R85" s="657"/>
      <c r="S85" s="657"/>
    </row>
    <row r="86" spans="1:19">
      <c r="A86" s="657"/>
      <c r="B86" s="657"/>
      <c r="C86" s="657"/>
      <c r="D86" s="657"/>
      <c r="E86" s="657"/>
      <c r="F86" s="657"/>
      <c r="G86" s="657"/>
      <c r="H86" s="657"/>
      <c r="I86" s="657"/>
      <c r="J86" s="657"/>
      <c r="K86" s="657"/>
      <c r="L86" s="657"/>
      <c r="M86" s="657"/>
      <c r="N86" s="657"/>
      <c r="O86" s="657"/>
      <c r="P86" s="657"/>
      <c r="Q86" s="657"/>
      <c r="R86" s="657"/>
      <c r="S86" s="657"/>
    </row>
    <row r="87" spans="1:19">
      <c r="A87" s="657"/>
      <c r="B87" s="657"/>
      <c r="C87" s="657"/>
      <c r="D87" s="657"/>
      <c r="E87" s="657"/>
      <c r="F87" s="657"/>
      <c r="G87" s="657"/>
      <c r="H87" s="657"/>
      <c r="I87" s="657"/>
      <c r="J87" s="657"/>
      <c r="K87" s="657"/>
      <c r="L87" s="657"/>
      <c r="M87" s="657"/>
      <c r="N87" s="657"/>
      <c r="O87" s="657"/>
      <c r="P87" s="657"/>
      <c r="Q87" s="657"/>
      <c r="R87" s="657"/>
      <c r="S87" s="657"/>
    </row>
    <row r="88" spans="1:19">
      <c r="A88" s="657"/>
      <c r="B88" s="657"/>
      <c r="C88" s="657"/>
      <c r="D88" s="657"/>
      <c r="E88" s="657"/>
      <c r="F88" s="657"/>
      <c r="G88" s="657"/>
      <c r="H88" s="657"/>
      <c r="I88" s="657"/>
      <c r="J88" s="657"/>
      <c r="K88" s="657"/>
      <c r="L88" s="657"/>
      <c r="M88" s="657"/>
      <c r="N88" s="657"/>
      <c r="O88" s="657"/>
      <c r="P88" s="657"/>
      <c r="Q88" s="657"/>
      <c r="R88" s="657"/>
      <c r="S88" s="657"/>
    </row>
    <row r="89" spans="1:19">
      <c r="A89" s="657"/>
      <c r="B89" s="657"/>
      <c r="C89" s="657"/>
      <c r="D89" s="657"/>
      <c r="E89" s="657"/>
      <c r="F89" s="657"/>
      <c r="G89" s="657"/>
      <c r="H89" s="657"/>
      <c r="I89" s="657"/>
      <c r="J89" s="657"/>
      <c r="K89" s="657"/>
      <c r="L89" s="657"/>
      <c r="M89" s="657"/>
      <c r="N89" s="657"/>
      <c r="O89" s="657"/>
      <c r="P89" s="657"/>
      <c r="Q89" s="657"/>
      <c r="R89" s="657"/>
      <c r="S89" s="657"/>
    </row>
    <row r="90" spans="1:19">
      <c r="A90" s="657"/>
      <c r="B90" s="657"/>
      <c r="C90" s="657"/>
      <c r="D90" s="657"/>
      <c r="E90" s="657"/>
      <c r="F90" s="657"/>
      <c r="G90" s="657"/>
      <c r="H90" s="657"/>
      <c r="I90" s="657"/>
      <c r="J90" s="657"/>
      <c r="K90" s="657"/>
      <c r="L90" s="657"/>
      <c r="M90" s="657"/>
      <c r="N90" s="657"/>
      <c r="O90" s="657"/>
      <c r="P90" s="657"/>
      <c r="Q90" s="657"/>
      <c r="R90" s="657"/>
      <c r="S90" s="657"/>
    </row>
    <row r="91" spans="1:19">
      <c r="A91" s="657"/>
      <c r="B91" s="657"/>
      <c r="C91" s="657"/>
      <c r="D91" s="657"/>
      <c r="E91" s="657"/>
      <c r="F91" s="657"/>
      <c r="G91" s="657"/>
      <c r="H91" s="657"/>
      <c r="I91" s="657"/>
      <c r="J91" s="657"/>
      <c r="K91" s="657"/>
      <c r="L91" s="657"/>
      <c r="M91" s="657"/>
      <c r="N91" s="657"/>
      <c r="O91" s="657"/>
      <c r="P91" s="657"/>
      <c r="Q91" s="657"/>
      <c r="R91" s="657"/>
      <c r="S91" s="657"/>
    </row>
    <row r="92" spans="1:19">
      <c r="A92" s="657"/>
      <c r="B92" s="657"/>
      <c r="C92" s="657"/>
      <c r="D92" s="657"/>
      <c r="E92" s="657"/>
      <c r="F92" s="657"/>
      <c r="G92" s="657"/>
      <c r="H92" s="657"/>
      <c r="I92" s="657"/>
      <c r="J92" s="657"/>
      <c r="K92" s="657"/>
      <c r="L92" s="657"/>
      <c r="M92" s="657"/>
      <c r="N92" s="657"/>
      <c r="O92" s="657"/>
      <c r="P92" s="657"/>
      <c r="Q92" s="657"/>
      <c r="R92" s="657"/>
      <c r="S92" s="657"/>
    </row>
    <row r="93" spans="1:19">
      <c r="A93" s="657"/>
      <c r="B93" s="657"/>
      <c r="C93" s="657"/>
      <c r="D93" s="657"/>
      <c r="E93" s="657"/>
      <c r="F93" s="657"/>
      <c r="G93" s="657"/>
      <c r="H93" s="657"/>
      <c r="I93" s="657"/>
      <c r="J93" s="657"/>
      <c r="K93" s="657"/>
      <c r="L93" s="657"/>
      <c r="M93" s="657"/>
      <c r="N93" s="657"/>
      <c r="O93" s="657"/>
      <c r="P93" s="657"/>
      <c r="Q93" s="657"/>
      <c r="R93" s="657"/>
      <c r="S93" s="657"/>
    </row>
    <row r="94" spans="1:19">
      <c r="A94" s="657"/>
      <c r="B94" s="657"/>
      <c r="C94" s="657"/>
      <c r="D94" s="657"/>
      <c r="E94" s="657"/>
      <c r="F94" s="657"/>
      <c r="G94" s="657"/>
      <c r="H94" s="657"/>
      <c r="I94" s="657"/>
      <c r="J94" s="657"/>
      <c r="K94" s="657"/>
      <c r="L94" s="657"/>
      <c r="M94" s="657"/>
      <c r="N94" s="657"/>
      <c r="O94" s="657"/>
      <c r="P94" s="657"/>
      <c r="Q94" s="657"/>
      <c r="R94" s="657"/>
      <c r="S94" s="657"/>
    </row>
    <row r="95" spans="1:19">
      <c r="A95" s="657"/>
      <c r="B95" s="657"/>
      <c r="C95" s="657"/>
      <c r="D95" s="657"/>
      <c r="E95" s="657"/>
      <c r="F95" s="657"/>
      <c r="G95" s="657"/>
      <c r="H95" s="657"/>
      <c r="I95" s="657"/>
      <c r="J95" s="657"/>
      <c r="K95" s="657"/>
      <c r="L95" s="657"/>
      <c r="M95" s="657"/>
      <c r="N95" s="657"/>
      <c r="O95" s="657"/>
      <c r="P95" s="657"/>
      <c r="Q95" s="657"/>
      <c r="R95" s="657"/>
      <c r="S95" s="657"/>
    </row>
    <row r="96" spans="1:19">
      <c r="A96" s="657"/>
      <c r="B96" s="657"/>
      <c r="C96" s="657"/>
      <c r="D96" s="657"/>
      <c r="E96" s="657"/>
      <c r="F96" s="657"/>
      <c r="G96" s="657"/>
      <c r="H96" s="657"/>
      <c r="I96" s="657"/>
      <c r="J96" s="657"/>
      <c r="K96" s="657"/>
      <c r="L96" s="657"/>
      <c r="M96" s="657"/>
      <c r="N96" s="657"/>
      <c r="O96" s="657"/>
      <c r="P96" s="657"/>
      <c r="Q96" s="657"/>
      <c r="R96" s="657"/>
      <c r="S96" s="657"/>
    </row>
    <row r="97" spans="1:19">
      <c r="A97" s="657"/>
      <c r="B97" s="657"/>
      <c r="C97" s="657"/>
      <c r="D97" s="657"/>
      <c r="E97" s="657"/>
      <c r="F97" s="657"/>
      <c r="G97" s="657"/>
      <c r="H97" s="657"/>
      <c r="I97" s="657"/>
      <c r="J97" s="657"/>
      <c r="K97" s="657"/>
      <c r="L97" s="657"/>
      <c r="M97" s="657"/>
      <c r="N97" s="657"/>
      <c r="O97" s="657"/>
      <c r="P97" s="657"/>
      <c r="Q97" s="657"/>
      <c r="R97" s="657"/>
      <c r="S97" s="657"/>
    </row>
    <row r="98" spans="1:19">
      <c r="A98" s="657"/>
      <c r="B98" s="657"/>
      <c r="C98" s="657"/>
      <c r="D98" s="657"/>
      <c r="E98" s="657"/>
      <c r="F98" s="657"/>
      <c r="G98" s="657"/>
      <c r="H98" s="657"/>
      <c r="I98" s="657"/>
      <c r="J98" s="657"/>
      <c r="K98" s="657"/>
      <c r="L98" s="657"/>
      <c r="M98" s="657"/>
      <c r="N98" s="657"/>
      <c r="O98" s="657"/>
      <c r="P98" s="657"/>
      <c r="Q98" s="657"/>
      <c r="R98" s="657"/>
      <c r="S98" s="657"/>
    </row>
    <row r="99" spans="1:19">
      <c r="A99" s="657"/>
      <c r="B99" s="657"/>
      <c r="C99" s="657"/>
      <c r="D99" s="657"/>
      <c r="E99" s="657"/>
      <c r="F99" s="657"/>
      <c r="G99" s="657"/>
      <c r="H99" s="657"/>
      <c r="I99" s="657"/>
      <c r="J99" s="657"/>
      <c r="K99" s="657"/>
      <c r="L99" s="657"/>
      <c r="M99" s="657"/>
      <c r="N99" s="657"/>
      <c r="O99" s="657"/>
      <c r="P99" s="657"/>
      <c r="Q99" s="657"/>
      <c r="R99" s="657"/>
      <c r="S99" s="657"/>
    </row>
    <row r="100" spans="1:19">
      <c r="A100" s="657"/>
      <c r="B100" s="657"/>
      <c r="C100" s="657"/>
      <c r="D100" s="657"/>
      <c r="E100" s="657"/>
      <c r="F100" s="657"/>
      <c r="G100" s="657"/>
      <c r="H100" s="657"/>
      <c r="I100" s="657"/>
      <c r="J100" s="657"/>
      <c r="K100" s="657"/>
      <c r="L100" s="657"/>
      <c r="M100" s="657"/>
      <c r="N100" s="657"/>
      <c r="O100" s="657"/>
      <c r="P100" s="657"/>
      <c r="Q100" s="657"/>
      <c r="R100" s="657"/>
      <c r="S100" s="657"/>
    </row>
    <row r="101" spans="1:19">
      <c r="A101" s="657"/>
      <c r="B101" s="657"/>
      <c r="C101" s="657"/>
      <c r="D101" s="657"/>
      <c r="E101" s="657"/>
      <c r="F101" s="657"/>
      <c r="G101" s="657"/>
      <c r="H101" s="657"/>
      <c r="I101" s="657"/>
      <c r="J101" s="657"/>
      <c r="K101" s="657"/>
      <c r="L101" s="657"/>
      <c r="M101" s="657"/>
      <c r="N101" s="657"/>
      <c r="O101" s="657"/>
      <c r="P101" s="657"/>
      <c r="Q101" s="657"/>
      <c r="R101" s="657"/>
      <c r="S101" s="657"/>
    </row>
    <row r="102" spans="1:19">
      <c r="A102" s="657"/>
      <c r="B102" s="657"/>
      <c r="C102" s="657"/>
      <c r="D102" s="657"/>
      <c r="E102" s="657"/>
      <c r="F102" s="657"/>
      <c r="G102" s="657"/>
      <c r="H102" s="657"/>
      <c r="I102" s="657"/>
      <c r="J102" s="657"/>
      <c r="K102" s="657"/>
      <c r="L102" s="657"/>
      <c r="M102" s="657"/>
      <c r="N102" s="657"/>
      <c r="O102" s="657"/>
      <c r="P102" s="657"/>
      <c r="Q102" s="657"/>
      <c r="R102" s="657"/>
      <c r="S102" s="657"/>
    </row>
    <row r="103" spans="1:19">
      <c r="A103" s="657"/>
      <c r="B103" s="657"/>
      <c r="C103" s="657"/>
      <c r="D103" s="657"/>
      <c r="E103" s="657"/>
      <c r="F103" s="657"/>
      <c r="G103" s="657"/>
      <c r="H103" s="657"/>
      <c r="I103" s="657"/>
      <c r="J103" s="657"/>
      <c r="K103" s="657"/>
      <c r="L103" s="657"/>
      <c r="M103" s="657"/>
      <c r="N103" s="657"/>
      <c r="O103" s="657"/>
      <c r="P103" s="657"/>
      <c r="Q103" s="657"/>
      <c r="R103" s="657"/>
      <c r="S103" s="657"/>
    </row>
    <row r="104" spans="1:19">
      <c r="A104" s="657"/>
      <c r="B104" s="657"/>
      <c r="C104" s="657"/>
      <c r="D104" s="657"/>
      <c r="E104" s="657"/>
      <c r="F104" s="657"/>
      <c r="G104" s="657"/>
      <c r="H104" s="657"/>
      <c r="I104" s="657"/>
      <c r="J104" s="657"/>
      <c r="K104" s="657"/>
      <c r="L104" s="657"/>
      <c r="M104" s="657"/>
      <c r="N104" s="657"/>
      <c r="O104" s="657"/>
      <c r="P104" s="657"/>
      <c r="Q104" s="657"/>
      <c r="R104" s="657"/>
      <c r="S104" s="657"/>
    </row>
    <row r="105" spans="1:19">
      <c r="A105" s="657"/>
      <c r="B105" s="657"/>
      <c r="C105" s="657"/>
      <c r="D105" s="657"/>
      <c r="E105" s="657"/>
      <c r="F105" s="657"/>
      <c r="G105" s="657"/>
      <c r="H105" s="657"/>
      <c r="I105" s="657"/>
      <c r="J105" s="657"/>
      <c r="K105" s="657"/>
      <c r="L105" s="657"/>
      <c r="M105" s="657"/>
      <c r="N105" s="657"/>
      <c r="O105" s="657"/>
      <c r="P105" s="657"/>
      <c r="Q105" s="657"/>
      <c r="R105" s="657"/>
      <c r="S105" s="657"/>
    </row>
    <row r="106" spans="1:19">
      <c r="A106" s="657"/>
      <c r="B106" s="657"/>
      <c r="C106" s="657"/>
      <c r="D106" s="657"/>
      <c r="E106" s="657"/>
      <c r="F106" s="657"/>
      <c r="G106" s="657"/>
      <c r="H106" s="657"/>
      <c r="I106" s="657"/>
      <c r="J106" s="657"/>
      <c r="K106" s="657"/>
      <c r="L106" s="657"/>
      <c r="M106" s="657"/>
      <c r="N106" s="657"/>
      <c r="O106" s="657"/>
      <c r="P106" s="657"/>
      <c r="Q106" s="657"/>
      <c r="R106" s="657"/>
      <c r="S106" s="657"/>
    </row>
    <row r="107" spans="1:19">
      <c r="A107" s="657"/>
      <c r="B107" s="657"/>
      <c r="C107" s="657"/>
      <c r="D107" s="657"/>
      <c r="E107" s="657"/>
      <c r="F107" s="657"/>
      <c r="G107" s="657"/>
      <c r="H107" s="657"/>
      <c r="I107" s="657"/>
      <c r="J107" s="657"/>
      <c r="K107" s="657"/>
      <c r="L107" s="657"/>
      <c r="M107" s="657"/>
      <c r="N107" s="657"/>
      <c r="O107" s="657"/>
      <c r="P107" s="657"/>
      <c r="Q107" s="657"/>
      <c r="R107" s="657"/>
      <c r="S107" s="657"/>
    </row>
    <row r="108" spans="1:19">
      <c r="A108" s="657"/>
      <c r="B108" s="657"/>
      <c r="C108" s="657"/>
      <c r="D108" s="657"/>
      <c r="E108" s="657"/>
      <c r="F108" s="657"/>
      <c r="G108" s="657"/>
      <c r="H108" s="657"/>
      <c r="I108" s="657"/>
      <c r="J108" s="657"/>
      <c r="K108" s="657"/>
      <c r="L108" s="657"/>
      <c r="M108" s="657"/>
      <c r="N108" s="657"/>
      <c r="O108" s="657"/>
      <c r="P108" s="657"/>
      <c r="Q108" s="657"/>
      <c r="R108" s="657"/>
      <c r="S108" s="657"/>
    </row>
    <row r="109" spans="1:19">
      <c r="A109" s="657"/>
      <c r="B109" s="657"/>
      <c r="C109" s="657"/>
      <c r="D109" s="657"/>
      <c r="E109" s="657"/>
      <c r="F109" s="657"/>
      <c r="G109" s="657"/>
      <c r="H109" s="657"/>
      <c r="I109" s="657"/>
      <c r="J109" s="657"/>
      <c r="K109" s="657"/>
      <c r="L109" s="657"/>
      <c r="M109" s="657"/>
      <c r="N109" s="657"/>
      <c r="O109" s="657"/>
      <c r="P109" s="657"/>
      <c r="Q109" s="657"/>
      <c r="R109" s="657"/>
      <c r="S109" s="657"/>
    </row>
    <row r="110" spans="1:19">
      <c r="A110" s="657"/>
      <c r="B110" s="657"/>
      <c r="C110" s="657"/>
      <c r="D110" s="657"/>
      <c r="E110" s="657"/>
      <c r="F110" s="657"/>
      <c r="G110" s="657"/>
      <c r="H110" s="657"/>
      <c r="I110" s="657"/>
      <c r="J110" s="657"/>
      <c r="K110" s="657"/>
      <c r="L110" s="657"/>
      <c r="M110" s="657"/>
      <c r="N110" s="657"/>
      <c r="O110" s="657"/>
      <c r="P110" s="657"/>
      <c r="Q110" s="657"/>
      <c r="R110" s="657"/>
      <c r="S110" s="657"/>
    </row>
    <row r="111" spans="1:19">
      <c r="A111" s="657"/>
      <c r="B111" s="657"/>
      <c r="C111" s="657"/>
      <c r="D111" s="657"/>
      <c r="E111" s="657"/>
      <c r="F111" s="657"/>
      <c r="G111" s="657"/>
      <c r="H111" s="657"/>
      <c r="I111" s="657"/>
      <c r="J111" s="657"/>
      <c r="K111" s="657"/>
      <c r="L111" s="657"/>
      <c r="M111" s="657"/>
      <c r="N111" s="657"/>
      <c r="O111" s="657"/>
      <c r="P111" s="657"/>
      <c r="Q111" s="657"/>
      <c r="R111" s="657"/>
      <c r="S111" s="657"/>
    </row>
    <row r="112" spans="1:19">
      <c r="A112" s="657"/>
      <c r="B112" s="657"/>
      <c r="C112" s="657"/>
      <c r="D112" s="657"/>
      <c r="E112" s="657"/>
      <c r="F112" s="657"/>
      <c r="G112" s="657"/>
      <c r="H112" s="657"/>
      <c r="I112" s="657"/>
      <c r="J112" s="657"/>
      <c r="K112" s="657"/>
      <c r="L112" s="657"/>
      <c r="M112" s="657"/>
      <c r="N112" s="657"/>
      <c r="O112" s="657"/>
      <c r="P112" s="657"/>
      <c r="Q112" s="657"/>
      <c r="R112" s="657"/>
      <c r="S112" s="657"/>
    </row>
    <row r="113" spans="1:19">
      <c r="A113" s="657"/>
      <c r="B113" s="657"/>
      <c r="C113" s="657"/>
      <c r="D113" s="657"/>
      <c r="E113" s="657"/>
      <c r="F113" s="657"/>
      <c r="G113" s="657"/>
      <c r="H113" s="657"/>
      <c r="I113" s="657"/>
      <c r="J113" s="657"/>
      <c r="K113" s="657"/>
      <c r="L113" s="657"/>
      <c r="M113" s="657"/>
      <c r="N113" s="657"/>
      <c r="O113" s="657"/>
      <c r="P113" s="657"/>
      <c r="Q113" s="657"/>
      <c r="R113" s="657"/>
      <c r="S113" s="657"/>
    </row>
    <row r="114" spans="1:19">
      <c r="A114" s="657"/>
      <c r="B114" s="657"/>
      <c r="C114" s="657"/>
      <c r="D114" s="657"/>
      <c r="E114" s="657"/>
      <c r="F114" s="657"/>
      <c r="G114" s="657"/>
      <c r="H114" s="657"/>
      <c r="I114" s="657"/>
      <c r="J114" s="657"/>
      <c r="K114" s="657"/>
      <c r="L114" s="657"/>
      <c r="M114" s="657"/>
      <c r="N114" s="657"/>
      <c r="O114" s="657"/>
      <c r="P114" s="657"/>
      <c r="Q114" s="657"/>
      <c r="R114" s="657"/>
      <c r="S114" s="657"/>
    </row>
    <row r="115" spans="1:19">
      <c r="A115" s="657"/>
      <c r="B115" s="657"/>
      <c r="C115" s="657"/>
      <c r="D115" s="657"/>
      <c r="E115" s="657"/>
      <c r="F115" s="657"/>
      <c r="G115" s="657"/>
      <c r="H115" s="657"/>
      <c r="I115" s="657"/>
      <c r="J115" s="657"/>
      <c r="K115" s="657"/>
      <c r="L115" s="657"/>
      <c r="M115" s="657"/>
      <c r="N115" s="657"/>
      <c r="O115" s="657"/>
      <c r="P115" s="657"/>
      <c r="Q115" s="657"/>
      <c r="R115" s="657"/>
      <c r="S115" s="657"/>
    </row>
    <row r="116" spans="1:19">
      <c r="A116" s="657"/>
      <c r="B116" s="657"/>
      <c r="C116" s="657"/>
      <c r="D116" s="657"/>
      <c r="E116" s="657"/>
      <c r="F116" s="657"/>
      <c r="G116" s="657"/>
      <c r="H116" s="657"/>
      <c r="I116" s="657"/>
      <c r="J116" s="657"/>
      <c r="K116" s="657"/>
      <c r="L116" s="657"/>
      <c r="M116" s="657"/>
      <c r="N116" s="657"/>
      <c r="O116" s="657"/>
      <c r="P116" s="657"/>
      <c r="Q116" s="657"/>
      <c r="R116" s="657"/>
      <c r="S116" s="657"/>
    </row>
    <row r="117" spans="1:19">
      <c r="A117" s="657"/>
      <c r="B117" s="657"/>
      <c r="C117" s="657"/>
      <c r="D117" s="657"/>
      <c r="E117" s="657"/>
      <c r="F117" s="657"/>
      <c r="G117" s="657"/>
      <c r="H117" s="657"/>
      <c r="I117" s="657"/>
      <c r="J117" s="657"/>
      <c r="K117" s="657"/>
      <c r="L117" s="657"/>
      <c r="M117" s="657"/>
      <c r="N117" s="657"/>
      <c r="O117" s="657"/>
      <c r="P117" s="657"/>
      <c r="Q117" s="657"/>
      <c r="R117" s="657"/>
      <c r="S117" s="657"/>
    </row>
    <row r="118" spans="1:19">
      <c r="A118" s="657"/>
      <c r="B118" s="657"/>
      <c r="C118" s="657"/>
      <c r="D118" s="657"/>
      <c r="E118" s="657"/>
      <c r="F118" s="657"/>
      <c r="G118" s="657"/>
      <c r="H118" s="657"/>
      <c r="I118" s="657"/>
      <c r="J118" s="657"/>
      <c r="K118" s="657"/>
      <c r="L118" s="657"/>
      <c r="M118" s="657"/>
      <c r="N118" s="657"/>
      <c r="O118" s="657"/>
      <c r="P118" s="657"/>
      <c r="Q118" s="657"/>
      <c r="R118" s="657"/>
      <c r="S118" s="657"/>
    </row>
    <row r="119" spans="1:19">
      <c r="A119" s="657"/>
      <c r="B119" s="657"/>
      <c r="C119" s="657"/>
      <c r="D119" s="657"/>
      <c r="E119" s="657"/>
      <c r="F119" s="657"/>
      <c r="G119" s="657"/>
      <c r="H119" s="657"/>
      <c r="I119" s="657"/>
      <c r="J119" s="657"/>
      <c r="K119" s="657"/>
      <c r="L119" s="657"/>
      <c r="M119" s="657"/>
      <c r="N119" s="657"/>
      <c r="O119" s="657"/>
      <c r="P119" s="657"/>
      <c r="Q119" s="657"/>
      <c r="R119" s="657"/>
      <c r="S119" s="657"/>
    </row>
    <row r="120" spans="1:19">
      <c r="A120" s="657"/>
      <c r="B120" s="657"/>
      <c r="C120" s="657"/>
      <c r="D120" s="657"/>
      <c r="E120" s="657"/>
      <c r="F120" s="657"/>
      <c r="G120" s="657"/>
      <c r="H120" s="657"/>
      <c r="I120" s="657"/>
      <c r="J120" s="657"/>
      <c r="K120" s="657"/>
      <c r="L120" s="657"/>
      <c r="M120" s="657"/>
      <c r="N120" s="657"/>
      <c r="O120" s="657"/>
      <c r="P120" s="657"/>
      <c r="Q120" s="657"/>
      <c r="R120" s="657"/>
      <c r="S120" s="657"/>
    </row>
  </sheetData>
  <mergeCells count="13">
    <mergeCell ref="F1:H2"/>
    <mergeCell ref="J32:R34"/>
    <mergeCell ref="H6:H8"/>
    <mergeCell ref="J6:J8"/>
    <mergeCell ref="A6:A8"/>
    <mergeCell ref="E6:E8"/>
    <mergeCell ref="C6:C8"/>
    <mergeCell ref="F6:F8"/>
    <mergeCell ref="I6:I8"/>
    <mergeCell ref="D6:D8"/>
    <mergeCell ref="G6:G8"/>
    <mergeCell ref="B6:B8"/>
    <mergeCell ref="A4:E4"/>
  </mergeCells>
  <phoneticPr fontId="4" type="noConversion"/>
  <printOptions horizontalCentered="1"/>
  <pageMargins left="0.5" right="0.5" top="0.65" bottom="0.65" header="0.3" footer="0.3"/>
  <pageSetup orientation="portrait" r:id="rId1"/>
  <headerFooter alignWithMargins="0"/>
  <colBreaks count="1" manualBreakCount="1">
    <brk id="8" max="1048575" man="1"/>
  </colBreaks>
  <legacyDrawing r:id="rId2"/>
</worksheet>
</file>

<file path=xl/worksheets/sheet5.xml><?xml version="1.0" encoding="utf-8"?>
<worksheet xmlns="http://schemas.openxmlformats.org/spreadsheetml/2006/main" xmlns:r="http://schemas.openxmlformats.org/officeDocument/2006/relationships">
  <sheetPr codeName="Sheet3"/>
  <dimension ref="A1:AM180"/>
  <sheetViews>
    <sheetView zoomScaleNormal="100" workbookViewId="0">
      <pane xSplit="2" ySplit="6" topLeftCell="C7" activePane="bottomRight" state="frozen"/>
      <selection activeCell="D3" sqref="D3:V3"/>
      <selection pane="topRight" activeCell="D3" sqref="D3:V3"/>
      <selection pane="bottomLeft" activeCell="D3" sqref="D3:V3"/>
      <selection pane="bottomRight" activeCell="B32" sqref="B32"/>
    </sheetView>
  </sheetViews>
  <sheetFormatPr defaultColWidth="9.140625" defaultRowHeight="12.75"/>
  <cols>
    <col min="1" max="1" width="12.42578125" style="2" customWidth="1"/>
    <col min="2" max="2" width="9.28515625" style="2" customWidth="1"/>
    <col min="3" max="3" width="7.5703125" style="2" customWidth="1"/>
    <col min="4" max="4" width="18.42578125" style="2" customWidth="1"/>
    <col min="5" max="5" width="6.140625" style="2" customWidth="1"/>
    <col min="6" max="6" width="10.140625" style="2" bestFit="1" customWidth="1"/>
    <col min="7" max="7" width="12.140625" style="2" customWidth="1"/>
    <col min="8" max="8" width="9.5703125" style="2" customWidth="1"/>
    <col min="9" max="9" width="18.5703125" style="2" bestFit="1" customWidth="1"/>
    <col min="10" max="10" width="6.7109375" style="2" customWidth="1"/>
    <col min="11" max="11" width="10.7109375" style="2" bestFit="1" customWidth="1"/>
    <col min="12" max="12" width="12.140625" style="2" customWidth="1"/>
    <col min="13" max="13" width="10.28515625" style="2" customWidth="1"/>
    <col min="14" max="15" width="12.28515625" style="2" customWidth="1"/>
    <col min="16" max="16" width="11.7109375" style="2" customWidth="1"/>
    <col min="17" max="17" width="16.28515625" style="2" customWidth="1"/>
    <col min="18" max="18" width="11.85546875" style="2" bestFit="1" customWidth="1"/>
    <col min="19" max="19" width="13.7109375" style="2" customWidth="1"/>
    <col min="20" max="20" width="7.5703125" style="2" customWidth="1"/>
    <col min="21" max="21" width="9.7109375" style="2" customWidth="1"/>
    <col min="22" max="22" width="17.7109375" style="2" customWidth="1"/>
    <col min="23" max="23" width="7.5703125" style="2" customWidth="1"/>
    <col min="24" max="24" width="9.28515625" style="2" customWidth="1"/>
    <col min="25" max="25" width="11.85546875" style="2" bestFit="1" customWidth="1"/>
    <col min="26" max="26" width="11.140625" style="2" bestFit="1" customWidth="1"/>
    <col min="27" max="27" width="8.7109375" style="2" customWidth="1"/>
    <col min="28" max="28" width="9.140625" style="2"/>
    <col min="29" max="29" width="13.7109375" style="2" bestFit="1" customWidth="1"/>
    <col min="30" max="30" width="12.42578125" style="2" customWidth="1"/>
    <col min="31" max="16384" width="9.140625" style="2"/>
  </cols>
  <sheetData>
    <row r="1" spans="1:39" ht="15.75">
      <c r="A1" s="707"/>
      <c r="B1" s="657"/>
      <c r="C1" s="661" t="str">
        <f>'1-Cover'!A1</f>
        <v>Project Name</v>
      </c>
      <c r="D1" s="707"/>
      <c r="E1" s="677"/>
      <c r="F1" s="677"/>
      <c r="G1" s="867" t="s">
        <v>794</v>
      </c>
      <c r="H1" s="867"/>
      <c r="I1" s="661" t="str">
        <f>'1-Cover'!A1</f>
        <v>Project Name</v>
      </c>
      <c r="J1" s="677"/>
      <c r="K1" s="677"/>
      <c r="L1" s="867" t="s">
        <v>794</v>
      </c>
      <c r="M1" s="86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row>
    <row r="2" spans="1:39" ht="16.5" thickBot="1">
      <c r="A2" s="657"/>
      <c r="B2" s="657"/>
      <c r="C2" s="707" t="s">
        <v>786</v>
      </c>
      <c r="D2" s="657"/>
      <c r="E2" s="677"/>
      <c r="F2" s="677"/>
      <c r="G2" s="867"/>
      <c r="H2" s="867"/>
      <c r="I2" s="707" t="s">
        <v>787</v>
      </c>
      <c r="J2" s="677"/>
      <c r="K2" s="677"/>
      <c r="L2" s="867"/>
      <c r="M2" s="867"/>
      <c r="N2" s="657"/>
      <c r="O2" s="657"/>
      <c r="P2" s="724" t="s">
        <v>306</v>
      </c>
      <c r="Q2" s="657"/>
      <c r="R2" s="657"/>
      <c r="S2" s="657"/>
      <c r="T2" s="657"/>
      <c r="U2" s="657"/>
      <c r="V2" s="724" t="s">
        <v>237</v>
      </c>
      <c r="W2" s="657"/>
      <c r="X2" s="657"/>
      <c r="Y2" s="657"/>
      <c r="Z2" s="657"/>
      <c r="AA2" s="736"/>
      <c r="AB2" s="736"/>
      <c r="AC2" s="736"/>
      <c r="AD2" s="736"/>
      <c r="AE2" s="657"/>
      <c r="AF2" s="657"/>
      <c r="AG2" s="657"/>
      <c r="AH2" s="657"/>
      <c r="AI2" s="657"/>
      <c r="AJ2" s="657"/>
      <c r="AK2" s="657"/>
      <c r="AL2" s="657"/>
      <c r="AM2" s="657"/>
    </row>
    <row r="3" spans="1:39" ht="13.5" thickBot="1">
      <c r="A3" s="735"/>
      <c r="B3" s="657"/>
      <c r="C3" s="657"/>
      <c r="D3" s="657"/>
      <c r="E3" s="677"/>
      <c r="F3" s="677"/>
      <c r="G3" s="677"/>
      <c r="H3" s="677"/>
      <c r="I3" s="677"/>
      <c r="J3" s="677"/>
      <c r="K3" s="677"/>
      <c r="L3" s="677"/>
      <c r="M3" s="677"/>
      <c r="N3" s="657"/>
      <c r="O3" s="657"/>
      <c r="P3" s="913" t="s">
        <v>448</v>
      </c>
      <c r="Q3" s="914"/>
      <c r="R3" s="914"/>
      <c r="S3" s="914"/>
      <c r="T3" s="915"/>
      <c r="U3" s="657"/>
      <c r="V3" s="910" t="s">
        <v>447</v>
      </c>
      <c r="W3" s="911"/>
      <c r="X3" s="911"/>
      <c r="Y3" s="911"/>
      <c r="Z3" s="911"/>
      <c r="AA3" s="911"/>
      <c r="AB3" s="911"/>
      <c r="AC3" s="911"/>
      <c r="AD3" s="912"/>
      <c r="AE3" s="657"/>
      <c r="AF3" s="657"/>
      <c r="AG3" s="657"/>
      <c r="AH3" s="657"/>
      <c r="AI3" s="657"/>
      <c r="AJ3" s="657"/>
      <c r="AK3" s="657"/>
      <c r="AL3" s="657"/>
      <c r="AM3" s="657"/>
    </row>
    <row r="4" spans="1:39" ht="14.45" customHeight="1">
      <c r="A4" s="872" t="s">
        <v>60</v>
      </c>
      <c r="B4" s="885" t="s">
        <v>59</v>
      </c>
      <c r="C4" s="875" t="s">
        <v>823</v>
      </c>
      <c r="D4" s="906" t="s">
        <v>294</v>
      </c>
      <c r="E4" s="920" t="s">
        <v>321</v>
      </c>
      <c r="F4" s="875" t="s">
        <v>788</v>
      </c>
      <c r="G4" s="875" t="s">
        <v>504</v>
      </c>
      <c r="H4" s="868" t="s">
        <v>505</v>
      </c>
      <c r="I4" s="880" t="s">
        <v>304</v>
      </c>
      <c r="J4" s="920" t="s">
        <v>243</v>
      </c>
      <c r="K4" s="875" t="s">
        <v>789</v>
      </c>
      <c r="L4" s="875" t="s">
        <v>506</v>
      </c>
      <c r="M4" s="868" t="s">
        <v>507</v>
      </c>
      <c r="N4" s="657"/>
      <c r="O4" s="657"/>
      <c r="P4" s="901" t="s">
        <v>11</v>
      </c>
      <c r="Q4" s="875" t="s">
        <v>187</v>
      </c>
      <c r="R4" s="875" t="s">
        <v>1061</v>
      </c>
      <c r="S4" s="893" t="s">
        <v>508</v>
      </c>
      <c r="T4" s="868" t="s">
        <v>321</v>
      </c>
      <c r="U4" s="657"/>
      <c r="V4" s="901" t="s">
        <v>297</v>
      </c>
      <c r="W4" s="875" t="s">
        <v>243</v>
      </c>
      <c r="X4" s="906" t="s">
        <v>238</v>
      </c>
      <c r="Y4" s="906" t="s">
        <v>790</v>
      </c>
      <c r="Z4" s="898" t="s">
        <v>509</v>
      </c>
      <c r="AA4" s="875" t="s">
        <v>513</v>
      </c>
      <c r="AB4" s="875" t="s">
        <v>510</v>
      </c>
      <c r="AC4" s="893" t="s">
        <v>512</v>
      </c>
      <c r="AD4" s="916" t="s">
        <v>511</v>
      </c>
      <c r="AE4" s="657"/>
      <c r="AF4" s="657"/>
      <c r="AG4" s="657"/>
      <c r="AH4" s="657"/>
      <c r="AI4" s="657"/>
      <c r="AJ4" s="657"/>
      <c r="AK4" s="657"/>
      <c r="AL4" s="657"/>
      <c r="AM4" s="657"/>
    </row>
    <row r="5" spans="1:39" ht="17.45" customHeight="1">
      <c r="A5" s="873"/>
      <c r="B5" s="886"/>
      <c r="C5" s="878"/>
      <c r="D5" s="907"/>
      <c r="E5" s="921"/>
      <c r="F5" s="878"/>
      <c r="G5" s="878"/>
      <c r="H5" s="869"/>
      <c r="I5" s="883"/>
      <c r="J5" s="921"/>
      <c r="K5" s="878"/>
      <c r="L5" s="878"/>
      <c r="M5" s="869"/>
      <c r="N5" s="657"/>
      <c r="O5" s="657"/>
      <c r="P5" s="924"/>
      <c r="Q5" s="878"/>
      <c r="R5" s="876"/>
      <c r="S5" s="894"/>
      <c r="T5" s="896"/>
      <c r="U5" s="657"/>
      <c r="V5" s="902"/>
      <c r="W5" s="904"/>
      <c r="X5" s="907"/>
      <c r="Y5" s="907"/>
      <c r="Z5" s="899"/>
      <c r="AA5" s="894"/>
      <c r="AB5" s="894"/>
      <c r="AC5" s="894"/>
      <c r="AD5" s="917"/>
      <c r="AE5" s="657"/>
      <c r="AF5" s="657"/>
      <c r="AG5" s="657"/>
      <c r="AH5" s="657"/>
      <c r="AI5" s="657"/>
      <c r="AJ5" s="657"/>
      <c r="AK5" s="657"/>
      <c r="AL5" s="657"/>
      <c r="AM5" s="657"/>
    </row>
    <row r="6" spans="1:39" ht="13.5" thickBot="1">
      <c r="A6" s="919"/>
      <c r="B6" s="923"/>
      <c r="C6" s="879"/>
      <c r="D6" s="908"/>
      <c r="E6" s="922"/>
      <c r="F6" s="909"/>
      <c r="G6" s="909"/>
      <c r="H6" s="871"/>
      <c r="I6" s="927"/>
      <c r="J6" s="922"/>
      <c r="K6" s="909"/>
      <c r="L6" s="909"/>
      <c r="M6" s="871"/>
      <c r="N6" s="657"/>
      <c r="O6" s="657"/>
      <c r="P6" s="925"/>
      <c r="Q6" s="909"/>
      <c r="R6" s="926"/>
      <c r="S6" s="895"/>
      <c r="T6" s="897"/>
      <c r="U6" s="657"/>
      <c r="V6" s="903"/>
      <c r="W6" s="905"/>
      <c r="X6" s="908"/>
      <c r="Y6" s="908"/>
      <c r="Z6" s="900"/>
      <c r="AA6" s="895"/>
      <c r="AB6" s="895"/>
      <c r="AC6" s="895"/>
      <c r="AD6" s="918"/>
      <c r="AE6" s="657"/>
      <c r="AF6" s="657"/>
      <c r="AG6" s="657"/>
      <c r="AH6" s="657"/>
      <c r="AI6" s="657"/>
      <c r="AJ6" s="657"/>
      <c r="AK6" s="657"/>
      <c r="AL6" s="657"/>
      <c r="AM6" s="657"/>
    </row>
    <row r="7" spans="1:39" ht="13.15" customHeight="1">
      <c r="A7" s="79" t="str">
        <f>IF('3-H&amp;H'!A9="","",'3-H&amp;H'!A9)</f>
        <v/>
      </c>
      <c r="B7" s="40" t="str">
        <f>IF('3-H&amp;H'!B9="","",'3-H&amp;H'!B9)</f>
        <v/>
      </c>
      <c r="C7" s="212"/>
      <c r="D7" s="56" t="str">
        <f t="shared" ref="D7:D26" si="0">IF(C7="","",IF(C7&gt;2048,$Q$7,IF(C7&gt;256,$Q$8,IF(C7&gt;128,$Q$9,IF(C7&gt;64,$Q$10,IF(C7&gt;32,$Q$11,IF(C7&gt;16,$Q$12,IF(C7&gt;8,$Q$13,IF(C7&gt;4,$Q$14,IF(C7&gt;2,$Q$15,IF(C7&gt;1,$Q$16,IF(C7&gt;0.5,$Q$17,IF(C7&gt;0.25,$Q$18,IF(C7&gt;0.125,$Q$19,IF(C7&gt;0.0625,$Q$20,IF(C7&gt;0.004,$Q$21,$Q$22))))))))))))))))</f>
        <v/>
      </c>
      <c r="E7" s="112" t="str">
        <f t="shared" ref="E7:E26" si="1">IF(C7="","",VLOOKUP(D7,$Q$7:$T$22,4,0))</f>
        <v/>
      </c>
      <c r="F7" s="92" t="str">
        <f t="shared" ref="F7:F26" si="2">IF(C7="","",(1600+300*LOG(C7))*$E$30)</f>
        <v/>
      </c>
      <c r="G7" s="92" t="str">
        <f>IF(D7="","",(((SG+((SG*SWWater/F7)-1))*SWWater)/(1+((SG*SWWater/F7)-1)))-SWWater)</f>
        <v/>
      </c>
      <c r="H7" s="481" t="str">
        <f t="shared" ref="H7:H26" si="3">IF(C7="","",VLOOKUP(D7,$Q$7:$T$22,3,0))</f>
        <v/>
      </c>
      <c r="I7" s="478"/>
      <c r="J7" s="100" t="str">
        <f t="shared" ref="J7:J26" si="4">IF(I7="","",VLOOKUP(I7,$V$7:$Z$22,2,0))</f>
        <v/>
      </c>
      <c r="K7" s="103" t="str">
        <f t="shared" ref="K7:K26" si="5">IF(I7="","",VLOOKUP(I7,$V$7:$Z$22,4,0))</f>
        <v/>
      </c>
      <c r="L7" s="103" t="str">
        <f t="shared" ref="L7:L26" si="6">IF(I7="","",VLOOKUP(I7,$V$7:$AD$22,9,0))</f>
        <v/>
      </c>
      <c r="M7" s="104" t="str">
        <f t="shared" ref="M7:M26" si="7">IF(I7="","",VLOOKUP(I7,$V$7:$Z$22,5,0))</f>
        <v/>
      </c>
      <c r="N7" s="657"/>
      <c r="O7" s="657"/>
      <c r="P7" s="84" t="s">
        <v>286</v>
      </c>
      <c r="Q7" s="95" t="s">
        <v>286</v>
      </c>
      <c r="R7" s="96">
        <v>165</v>
      </c>
      <c r="S7" s="111" t="s">
        <v>210</v>
      </c>
      <c r="T7" s="85">
        <v>1</v>
      </c>
      <c r="U7" s="657"/>
      <c r="V7" s="122" t="s">
        <v>311</v>
      </c>
      <c r="W7" s="111">
        <v>4</v>
      </c>
      <c r="X7" s="111" t="s">
        <v>239</v>
      </c>
      <c r="Y7" s="96">
        <f>R10</f>
        <v>137</v>
      </c>
      <c r="Z7" s="123">
        <f>S10</f>
        <v>41</v>
      </c>
      <c r="AA7" s="124">
        <f>((SG*SWWater)/Y7)-1</f>
        <v>0.20700729927007289</v>
      </c>
      <c r="AB7" s="124">
        <f>AA7/(1+AA7)</f>
        <v>0.17150459603289786</v>
      </c>
      <c r="AC7" s="124">
        <f>((SG+AA7)*SWWater)/(1+AA7)</f>
        <v>147.70188679245283</v>
      </c>
      <c r="AD7" s="130">
        <f>AC7-SWWater</f>
        <v>85.301886792452819</v>
      </c>
      <c r="AE7" s="657"/>
      <c r="AF7" s="657"/>
      <c r="AG7" s="657"/>
      <c r="AH7" s="657"/>
      <c r="AI7" s="657"/>
      <c r="AJ7" s="657"/>
      <c r="AK7" s="657"/>
      <c r="AL7" s="657"/>
      <c r="AM7" s="657"/>
    </row>
    <row r="8" spans="1:39">
      <c r="A8" s="80" t="str">
        <f>IF('3-H&amp;H'!A10="","",'3-H&amp;H'!A10)</f>
        <v/>
      </c>
      <c r="B8" s="41" t="str">
        <f>IF('3-H&amp;H'!B10="","",'3-H&amp;H'!B10)</f>
        <v/>
      </c>
      <c r="C8" s="213"/>
      <c r="D8" s="57" t="str">
        <f t="shared" si="0"/>
        <v/>
      </c>
      <c r="E8" s="108" t="str">
        <f t="shared" si="1"/>
        <v/>
      </c>
      <c r="F8" s="93" t="str">
        <f t="shared" si="2"/>
        <v/>
      </c>
      <c r="G8" s="93" t="str">
        <f t="shared" ref="G8:G26" si="8">IF(D8="","",(((SG+((SG*SWWater/F8)-1))*SWWater)/(1+((SG*SWWater/F8)-1)))-SWWater)</f>
        <v/>
      </c>
      <c r="H8" s="482" t="str">
        <f t="shared" si="3"/>
        <v/>
      </c>
      <c r="I8" s="479"/>
      <c r="J8" s="101" t="str">
        <f t="shared" si="4"/>
        <v/>
      </c>
      <c r="K8" s="93" t="str">
        <f t="shared" si="5"/>
        <v/>
      </c>
      <c r="L8" s="93" t="str">
        <f t="shared" si="6"/>
        <v/>
      </c>
      <c r="M8" s="36" t="str">
        <f t="shared" si="7"/>
        <v/>
      </c>
      <c r="N8" s="657"/>
      <c r="O8" s="657"/>
      <c r="P8" s="29" t="s">
        <v>288</v>
      </c>
      <c r="Q8" s="3" t="s">
        <v>287</v>
      </c>
      <c r="R8" s="43">
        <v>146</v>
      </c>
      <c r="S8" s="31">
        <v>42</v>
      </c>
      <c r="T8" s="34">
        <v>4</v>
      </c>
      <c r="U8" s="657"/>
      <c r="V8" s="99" t="s">
        <v>308</v>
      </c>
      <c r="W8" s="31">
        <v>4</v>
      </c>
      <c r="X8" s="31" t="s">
        <v>239</v>
      </c>
      <c r="Y8" s="43">
        <v>131.4</v>
      </c>
      <c r="Z8" s="119">
        <v>40</v>
      </c>
      <c r="AA8" s="121">
        <f t="shared" ref="AA8:AA19" si="9">((SG*SWWater)/Y8)-1</f>
        <v>0.25844748858447475</v>
      </c>
      <c r="AB8" s="121">
        <f t="shared" ref="AB8:AB19" si="10">AA8/(1+AA8)</f>
        <v>0.20537010159651661</v>
      </c>
      <c r="AC8" s="121">
        <f t="shared" ref="AC8:AC19" si="11">((SG+AA8)*SWWater)/(1+AA8)</f>
        <v>144.21509433962265</v>
      </c>
      <c r="AD8" s="130">
        <f t="shared" ref="AD8:AD19" si="12">AC8-SWWater</f>
        <v>81.815094339622647</v>
      </c>
      <c r="AE8" s="657"/>
      <c r="AF8" s="657"/>
      <c r="AG8" s="657"/>
      <c r="AH8" s="657"/>
      <c r="AI8" s="657"/>
      <c r="AJ8" s="657"/>
      <c r="AK8" s="657"/>
      <c r="AL8" s="657"/>
      <c r="AM8" s="657"/>
    </row>
    <row r="9" spans="1:39">
      <c r="A9" s="80" t="str">
        <f>IF('3-H&amp;H'!A11="","",'3-H&amp;H'!A11)</f>
        <v/>
      </c>
      <c r="B9" s="41" t="str">
        <f>IF('3-H&amp;H'!B11="","",'3-H&amp;H'!B11)</f>
        <v/>
      </c>
      <c r="C9" s="213"/>
      <c r="D9" s="57" t="str">
        <f t="shared" si="0"/>
        <v/>
      </c>
      <c r="E9" s="108" t="str">
        <f t="shared" si="1"/>
        <v/>
      </c>
      <c r="F9" s="93" t="str">
        <f t="shared" si="2"/>
        <v/>
      </c>
      <c r="G9" s="93" t="str">
        <f t="shared" si="8"/>
        <v/>
      </c>
      <c r="H9" s="482" t="str">
        <f t="shared" si="3"/>
        <v/>
      </c>
      <c r="I9" s="479"/>
      <c r="J9" s="101" t="str">
        <f t="shared" si="4"/>
        <v/>
      </c>
      <c r="K9" s="93" t="str">
        <f t="shared" si="5"/>
        <v/>
      </c>
      <c r="L9" s="93" t="str">
        <f t="shared" si="6"/>
        <v/>
      </c>
      <c r="M9" s="36" t="str">
        <f t="shared" si="7"/>
        <v/>
      </c>
      <c r="N9" s="657"/>
      <c r="O9" s="657"/>
      <c r="P9" s="29" t="s">
        <v>75</v>
      </c>
      <c r="Q9" s="3" t="s">
        <v>79</v>
      </c>
      <c r="R9" s="43">
        <v>142.6</v>
      </c>
      <c r="S9" s="31">
        <v>42</v>
      </c>
      <c r="T9" s="34">
        <v>4</v>
      </c>
      <c r="U9" s="657"/>
      <c r="V9" s="99" t="s">
        <v>301</v>
      </c>
      <c r="W9" s="31">
        <v>5</v>
      </c>
      <c r="X9" s="31" t="s">
        <v>240</v>
      </c>
      <c r="Y9" s="43">
        <v>125.7</v>
      </c>
      <c r="Z9" s="119">
        <v>36</v>
      </c>
      <c r="AA9" s="121">
        <f t="shared" si="9"/>
        <v>0.31551312649164664</v>
      </c>
      <c r="AB9" s="121">
        <f t="shared" si="10"/>
        <v>0.2398403483309143</v>
      </c>
      <c r="AC9" s="121">
        <f t="shared" si="11"/>
        <v>140.66603773584907</v>
      </c>
      <c r="AD9" s="130">
        <f t="shared" si="12"/>
        <v>78.266037735849068</v>
      </c>
      <c r="AE9" s="657"/>
      <c r="AF9" s="657"/>
      <c r="AG9" s="657"/>
      <c r="AH9" s="657"/>
      <c r="AI9" s="657"/>
      <c r="AJ9" s="657"/>
      <c r="AK9" s="657"/>
      <c r="AL9" s="657"/>
      <c r="AM9" s="657"/>
    </row>
    <row r="10" spans="1:39">
      <c r="A10" s="80" t="str">
        <f>IF('3-H&amp;H'!A12="","",'3-H&amp;H'!A12)</f>
        <v/>
      </c>
      <c r="B10" s="41" t="str">
        <f>IF('3-H&amp;H'!B12="","",'3-H&amp;H'!B12)</f>
        <v/>
      </c>
      <c r="C10" s="213"/>
      <c r="D10" s="57" t="str">
        <f t="shared" si="0"/>
        <v/>
      </c>
      <c r="E10" s="108" t="str">
        <f t="shared" si="1"/>
        <v/>
      </c>
      <c r="F10" s="93" t="str">
        <f t="shared" si="2"/>
        <v/>
      </c>
      <c r="G10" s="93" t="str">
        <f t="shared" si="8"/>
        <v/>
      </c>
      <c r="H10" s="482" t="str">
        <f t="shared" si="3"/>
        <v/>
      </c>
      <c r="I10" s="479"/>
      <c r="J10" s="101" t="str">
        <f t="shared" si="4"/>
        <v/>
      </c>
      <c r="K10" s="93" t="str">
        <f t="shared" si="5"/>
        <v/>
      </c>
      <c r="L10" s="93" t="str">
        <f t="shared" si="6"/>
        <v/>
      </c>
      <c r="M10" s="36" t="str">
        <f t="shared" si="7"/>
        <v/>
      </c>
      <c r="N10" s="657"/>
      <c r="O10" s="657"/>
      <c r="P10" s="29" t="s">
        <v>74</v>
      </c>
      <c r="Q10" s="3" t="s">
        <v>78</v>
      </c>
      <c r="R10" s="43">
        <v>137</v>
      </c>
      <c r="S10" s="31">
        <v>41</v>
      </c>
      <c r="T10" s="34">
        <v>4</v>
      </c>
      <c r="U10" s="657"/>
      <c r="V10" s="99" t="s">
        <v>305</v>
      </c>
      <c r="W10" s="31">
        <v>5</v>
      </c>
      <c r="X10" s="31" t="s">
        <v>239</v>
      </c>
      <c r="Y10" s="43">
        <v>111.65</v>
      </c>
      <c r="Z10" s="119">
        <v>39</v>
      </c>
      <c r="AA10" s="121">
        <f t="shared" si="9"/>
        <v>0.48105687416032228</v>
      </c>
      <c r="AB10" s="121">
        <f t="shared" si="10"/>
        <v>0.32480648282535068</v>
      </c>
      <c r="AC10" s="121">
        <f t="shared" si="11"/>
        <v>131.91792452830188</v>
      </c>
      <c r="AD10" s="130">
        <f t="shared" si="12"/>
        <v>69.517924528301876</v>
      </c>
      <c r="AE10" s="657"/>
      <c r="AF10" s="657"/>
      <c r="AG10" s="657"/>
      <c r="AH10" s="657"/>
      <c r="AI10" s="657"/>
      <c r="AJ10" s="657"/>
      <c r="AK10" s="657"/>
      <c r="AL10" s="657"/>
      <c r="AM10" s="657"/>
    </row>
    <row r="11" spans="1:39" ht="25.5">
      <c r="A11" s="80" t="str">
        <f>IF('3-H&amp;H'!A13="","",'3-H&amp;H'!A13)</f>
        <v/>
      </c>
      <c r="B11" s="41" t="str">
        <f>IF('3-H&amp;H'!B13="","",'3-H&amp;H'!B13)</f>
        <v/>
      </c>
      <c r="C11" s="213"/>
      <c r="D11" s="57" t="str">
        <f t="shared" si="0"/>
        <v/>
      </c>
      <c r="E11" s="108" t="str">
        <f t="shared" si="1"/>
        <v/>
      </c>
      <c r="F11" s="93" t="str">
        <f t="shared" si="2"/>
        <v/>
      </c>
      <c r="G11" s="93" t="str">
        <f t="shared" si="8"/>
        <v/>
      </c>
      <c r="H11" s="482" t="str">
        <f t="shared" si="3"/>
        <v/>
      </c>
      <c r="I11" s="479"/>
      <c r="J11" s="101" t="str">
        <f t="shared" si="4"/>
        <v/>
      </c>
      <c r="K11" s="93" t="str">
        <f t="shared" si="5"/>
        <v/>
      </c>
      <c r="L11" s="93" t="str">
        <f t="shared" si="6"/>
        <v/>
      </c>
      <c r="M11" s="36" t="str">
        <f t="shared" si="7"/>
        <v/>
      </c>
      <c r="N11" s="657"/>
      <c r="O11" s="657"/>
      <c r="P11" s="29" t="s">
        <v>73</v>
      </c>
      <c r="Q11" s="3" t="s">
        <v>77</v>
      </c>
      <c r="R11" s="43">
        <v>131.4</v>
      </c>
      <c r="S11" s="31">
        <v>40</v>
      </c>
      <c r="T11" s="34">
        <v>5</v>
      </c>
      <c r="U11" s="657"/>
      <c r="V11" s="98" t="s">
        <v>307</v>
      </c>
      <c r="W11" s="31">
        <v>5</v>
      </c>
      <c r="X11" s="31" t="s">
        <v>240</v>
      </c>
      <c r="Y11" s="43">
        <v>120</v>
      </c>
      <c r="Z11" s="119">
        <v>43</v>
      </c>
      <c r="AA11" s="121">
        <f t="shared" si="9"/>
        <v>0.37799999999999989</v>
      </c>
      <c r="AB11" s="121">
        <f t="shared" si="10"/>
        <v>0.27431059506531197</v>
      </c>
      <c r="AC11" s="121">
        <f t="shared" si="11"/>
        <v>137.11698113207547</v>
      </c>
      <c r="AD11" s="130">
        <f t="shared" si="12"/>
        <v>74.71698113207546</v>
      </c>
      <c r="AE11" s="657"/>
      <c r="AF11" s="657"/>
      <c r="AG11" s="657"/>
      <c r="AH11" s="657"/>
      <c r="AI11" s="657"/>
      <c r="AJ11" s="657"/>
      <c r="AK11" s="657"/>
      <c r="AL11" s="657"/>
      <c r="AM11" s="657"/>
    </row>
    <row r="12" spans="1:39">
      <c r="A12" s="80" t="str">
        <f>IF('3-H&amp;H'!A14="","",'3-H&amp;H'!A14)</f>
        <v/>
      </c>
      <c r="B12" s="41" t="str">
        <f>IF('3-H&amp;H'!B14="","",'3-H&amp;H'!B14)</f>
        <v/>
      </c>
      <c r="C12" s="213"/>
      <c r="D12" s="57" t="str">
        <f t="shared" si="0"/>
        <v/>
      </c>
      <c r="E12" s="108" t="str">
        <f t="shared" si="1"/>
        <v/>
      </c>
      <c r="F12" s="93" t="str">
        <f t="shared" si="2"/>
        <v/>
      </c>
      <c r="G12" s="93" t="str">
        <f t="shared" si="8"/>
        <v/>
      </c>
      <c r="H12" s="482" t="str">
        <f t="shared" si="3"/>
        <v/>
      </c>
      <c r="I12" s="479"/>
      <c r="J12" s="101" t="str">
        <f t="shared" si="4"/>
        <v/>
      </c>
      <c r="K12" s="93" t="str">
        <f t="shared" si="5"/>
        <v/>
      </c>
      <c r="L12" s="93" t="str">
        <f t="shared" si="6"/>
        <v/>
      </c>
      <c r="M12" s="36" t="str">
        <f t="shared" si="7"/>
        <v/>
      </c>
      <c r="N12" s="657"/>
      <c r="O12" s="657"/>
      <c r="P12" s="29" t="s">
        <v>72</v>
      </c>
      <c r="Q12" s="3" t="s">
        <v>6</v>
      </c>
      <c r="R12" s="43">
        <v>125.7</v>
      </c>
      <c r="S12" s="31">
        <v>38</v>
      </c>
      <c r="T12" s="34">
        <v>5</v>
      </c>
      <c r="U12" s="657"/>
      <c r="V12" s="98" t="s">
        <v>302</v>
      </c>
      <c r="W12" s="31">
        <v>6</v>
      </c>
      <c r="X12" s="31" t="s">
        <v>241</v>
      </c>
      <c r="Y12" s="43">
        <v>98</v>
      </c>
      <c r="Z12" s="119">
        <v>31</v>
      </c>
      <c r="AA12" s="121">
        <f t="shared" si="9"/>
        <v>0.68734693877551001</v>
      </c>
      <c r="AB12" s="121">
        <f t="shared" si="10"/>
        <v>0.40735365263667145</v>
      </c>
      <c r="AC12" s="121">
        <f t="shared" si="11"/>
        <v>123.41886792452831</v>
      </c>
      <c r="AD12" s="130">
        <f t="shared" si="12"/>
        <v>61.018867924528315</v>
      </c>
      <c r="AE12" s="657"/>
      <c r="AF12" s="657"/>
      <c r="AG12" s="657"/>
      <c r="AH12" s="657"/>
      <c r="AI12" s="657"/>
      <c r="AJ12" s="657"/>
      <c r="AK12" s="657"/>
      <c r="AL12" s="657"/>
      <c r="AM12" s="657"/>
    </row>
    <row r="13" spans="1:39">
      <c r="A13" s="80" t="str">
        <f>IF('3-H&amp;H'!A15="","",'3-H&amp;H'!A15)</f>
        <v/>
      </c>
      <c r="B13" s="41" t="str">
        <f>IF('3-H&amp;H'!B15="","",'3-H&amp;H'!B15)</f>
        <v/>
      </c>
      <c r="C13" s="213"/>
      <c r="D13" s="57" t="str">
        <f t="shared" si="0"/>
        <v/>
      </c>
      <c r="E13" s="108" t="str">
        <f t="shared" si="1"/>
        <v/>
      </c>
      <c r="F13" s="93" t="str">
        <f t="shared" si="2"/>
        <v/>
      </c>
      <c r="G13" s="93" t="str">
        <f t="shared" si="8"/>
        <v/>
      </c>
      <c r="H13" s="482" t="str">
        <f t="shared" si="3"/>
        <v/>
      </c>
      <c r="I13" s="479"/>
      <c r="J13" s="101" t="str">
        <f t="shared" si="4"/>
        <v/>
      </c>
      <c r="K13" s="93" t="str">
        <f t="shared" si="5"/>
        <v/>
      </c>
      <c r="L13" s="93" t="str">
        <f t="shared" si="6"/>
        <v/>
      </c>
      <c r="M13" s="36" t="str">
        <f t="shared" si="7"/>
        <v/>
      </c>
      <c r="N13" s="657"/>
      <c r="O13" s="657"/>
      <c r="P13" s="29" t="s">
        <v>71</v>
      </c>
      <c r="Q13" s="3" t="s">
        <v>7</v>
      </c>
      <c r="R13" s="43">
        <v>120.1</v>
      </c>
      <c r="S13" s="31">
        <v>36</v>
      </c>
      <c r="T13" s="34">
        <v>5</v>
      </c>
      <c r="U13" s="657"/>
      <c r="V13" s="69" t="s">
        <v>299</v>
      </c>
      <c r="W13" s="31">
        <v>6</v>
      </c>
      <c r="X13" s="31" t="s">
        <v>241</v>
      </c>
      <c r="Y13" s="43">
        <v>114</v>
      </c>
      <c r="Z13" s="119">
        <v>42</v>
      </c>
      <c r="AA13" s="121">
        <f t="shared" si="9"/>
        <v>0.45052631578947366</v>
      </c>
      <c r="AB13" s="121">
        <f t="shared" si="10"/>
        <v>0.31059506531204645</v>
      </c>
      <c r="AC13" s="121">
        <f t="shared" si="11"/>
        <v>133.3811320754717</v>
      </c>
      <c r="AD13" s="130">
        <f t="shared" si="12"/>
        <v>70.981132075471692</v>
      </c>
      <c r="AE13" s="657"/>
      <c r="AF13" s="657"/>
      <c r="AG13" s="657"/>
      <c r="AH13" s="657"/>
      <c r="AI13" s="657"/>
      <c r="AJ13" s="657"/>
      <c r="AK13" s="657"/>
      <c r="AL13" s="657"/>
      <c r="AM13" s="657"/>
    </row>
    <row r="14" spans="1:39">
      <c r="A14" s="80" t="str">
        <f>IF('3-H&amp;H'!A16="","",'3-H&amp;H'!A16)</f>
        <v/>
      </c>
      <c r="B14" s="41" t="str">
        <f>IF('3-H&amp;H'!B16="","",'3-H&amp;H'!B16)</f>
        <v/>
      </c>
      <c r="C14" s="213"/>
      <c r="D14" s="57" t="str">
        <f t="shared" si="0"/>
        <v/>
      </c>
      <c r="E14" s="108" t="str">
        <f t="shared" si="1"/>
        <v/>
      </c>
      <c r="F14" s="93" t="str">
        <f t="shared" si="2"/>
        <v/>
      </c>
      <c r="G14" s="93" t="str">
        <f t="shared" si="8"/>
        <v/>
      </c>
      <c r="H14" s="482" t="str">
        <f t="shared" si="3"/>
        <v/>
      </c>
      <c r="I14" s="479"/>
      <c r="J14" s="101" t="str">
        <f t="shared" si="4"/>
        <v/>
      </c>
      <c r="K14" s="93" t="str">
        <f t="shared" si="5"/>
        <v/>
      </c>
      <c r="L14" s="93" t="str">
        <f t="shared" si="6"/>
        <v/>
      </c>
      <c r="M14" s="36" t="str">
        <f t="shared" si="7"/>
        <v/>
      </c>
      <c r="N14" s="657"/>
      <c r="O14" s="657"/>
      <c r="P14" s="29" t="s">
        <v>70</v>
      </c>
      <c r="Q14" s="3" t="s">
        <v>8</v>
      </c>
      <c r="R14" s="43">
        <v>114.5</v>
      </c>
      <c r="S14" s="31">
        <v>35</v>
      </c>
      <c r="T14" s="34">
        <v>5</v>
      </c>
      <c r="U14" s="657"/>
      <c r="V14" s="98" t="s">
        <v>303</v>
      </c>
      <c r="W14" s="31">
        <v>7</v>
      </c>
      <c r="X14" s="31" t="s">
        <v>242</v>
      </c>
      <c r="Y14" s="43">
        <v>93</v>
      </c>
      <c r="Z14" s="119">
        <v>30</v>
      </c>
      <c r="AA14" s="121">
        <f t="shared" si="9"/>
        <v>0.77806451612903205</v>
      </c>
      <c r="AB14" s="121">
        <f t="shared" si="10"/>
        <v>0.43759071117561676</v>
      </c>
      <c r="AC14" s="121">
        <f t="shared" si="11"/>
        <v>120.30566037735849</v>
      </c>
      <c r="AD14" s="130">
        <f t="shared" si="12"/>
        <v>57.905660377358494</v>
      </c>
      <c r="AE14" s="657"/>
      <c r="AF14" s="657"/>
      <c r="AG14" s="657"/>
      <c r="AH14" s="657"/>
      <c r="AI14" s="657"/>
      <c r="AJ14" s="657"/>
      <c r="AK14" s="657"/>
      <c r="AL14" s="657"/>
      <c r="AM14" s="657"/>
    </row>
    <row r="15" spans="1:39">
      <c r="A15" s="80" t="str">
        <f>IF('3-H&amp;H'!A17="","",'3-H&amp;H'!A17)</f>
        <v/>
      </c>
      <c r="B15" s="41" t="str">
        <f>IF('3-H&amp;H'!B17="","",'3-H&amp;H'!B17)</f>
        <v/>
      </c>
      <c r="C15" s="213"/>
      <c r="D15" s="57" t="str">
        <f t="shared" si="0"/>
        <v/>
      </c>
      <c r="E15" s="108" t="str">
        <f t="shared" si="1"/>
        <v/>
      </c>
      <c r="F15" s="93" t="str">
        <f t="shared" si="2"/>
        <v/>
      </c>
      <c r="G15" s="93" t="str">
        <f t="shared" si="8"/>
        <v/>
      </c>
      <c r="H15" s="482" t="str">
        <f t="shared" si="3"/>
        <v/>
      </c>
      <c r="I15" s="479"/>
      <c r="J15" s="101" t="str">
        <f t="shared" si="4"/>
        <v/>
      </c>
      <c r="K15" s="93" t="str">
        <f t="shared" si="5"/>
        <v/>
      </c>
      <c r="L15" s="93" t="str">
        <f t="shared" si="6"/>
        <v/>
      </c>
      <c r="M15" s="36" t="str">
        <f t="shared" si="7"/>
        <v/>
      </c>
      <c r="N15" s="657"/>
      <c r="O15" s="657"/>
      <c r="P15" s="29" t="s">
        <v>69</v>
      </c>
      <c r="Q15" s="3" t="s">
        <v>76</v>
      </c>
      <c r="R15" s="43">
        <v>108.8</v>
      </c>
      <c r="S15" s="31">
        <v>33</v>
      </c>
      <c r="T15" s="34">
        <v>6</v>
      </c>
      <c r="U15" s="657"/>
      <c r="V15" s="99" t="s">
        <v>318</v>
      </c>
      <c r="W15" s="31">
        <v>6</v>
      </c>
      <c r="X15" s="31" t="s">
        <v>241</v>
      </c>
      <c r="Y15" s="43">
        <v>90</v>
      </c>
      <c r="Z15" s="119">
        <v>27</v>
      </c>
      <c r="AA15" s="121">
        <f t="shared" si="9"/>
        <v>0.83733333333333326</v>
      </c>
      <c r="AB15" s="121">
        <f t="shared" si="10"/>
        <v>0.45573294629898403</v>
      </c>
      <c r="AC15" s="121">
        <f t="shared" si="11"/>
        <v>118.43773584905659</v>
      </c>
      <c r="AD15" s="130">
        <f t="shared" si="12"/>
        <v>56.037735849056595</v>
      </c>
      <c r="AE15" s="657"/>
      <c r="AF15" s="657"/>
      <c r="AG15" s="657"/>
      <c r="AH15" s="657"/>
      <c r="AI15" s="657"/>
      <c r="AJ15" s="657"/>
      <c r="AK15" s="657"/>
      <c r="AL15" s="657"/>
      <c r="AM15" s="657"/>
    </row>
    <row r="16" spans="1:39" ht="13.15" customHeight="1">
      <c r="A16" s="80" t="str">
        <f>IF('3-H&amp;H'!A18="","",'3-H&amp;H'!A18)</f>
        <v/>
      </c>
      <c r="B16" s="41" t="str">
        <f>IF('3-H&amp;H'!B18="","",'3-H&amp;H'!B18)</f>
        <v/>
      </c>
      <c r="C16" s="213"/>
      <c r="D16" s="57" t="str">
        <f t="shared" si="0"/>
        <v/>
      </c>
      <c r="E16" s="108" t="str">
        <f t="shared" si="1"/>
        <v/>
      </c>
      <c r="F16" s="93" t="str">
        <f t="shared" si="2"/>
        <v/>
      </c>
      <c r="G16" s="93" t="str">
        <f t="shared" si="8"/>
        <v/>
      </c>
      <c r="H16" s="482" t="str">
        <f t="shared" si="3"/>
        <v/>
      </c>
      <c r="I16" s="479"/>
      <c r="J16" s="101" t="str">
        <f t="shared" si="4"/>
        <v/>
      </c>
      <c r="K16" s="93" t="str">
        <f t="shared" si="5"/>
        <v/>
      </c>
      <c r="L16" s="93" t="str">
        <f t="shared" si="6"/>
        <v/>
      </c>
      <c r="M16" s="36" t="str">
        <f t="shared" si="7"/>
        <v/>
      </c>
      <c r="N16" s="657"/>
      <c r="O16" s="657"/>
      <c r="P16" s="29" t="s">
        <v>68</v>
      </c>
      <c r="Q16" s="3" t="s">
        <v>65</v>
      </c>
      <c r="R16" s="43">
        <v>103.2</v>
      </c>
      <c r="S16" s="31">
        <v>32</v>
      </c>
      <c r="T16" s="34">
        <v>6</v>
      </c>
      <c r="U16" s="657"/>
      <c r="V16" s="98" t="s">
        <v>309</v>
      </c>
      <c r="W16" s="31">
        <v>7</v>
      </c>
      <c r="X16" s="31" t="s">
        <v>242</v>
      </c>
      <c r="Y16" s="43">
        <v>78</v>
      </c>
      <c r="Z16" s="119">
        <v>25</v>
      </c>
      <c r="AA16" s="121">
        <f t="shared" si="9"/>
        <v>1.1199999999999997</v>
      </c>
      <c r="AB16" s="121">
        <f t="shared" si="10"/>
        <v>0.52830188679245271</v>
      </c>
      <c r="AC16" s="121">
        <f t="shared" si="11"/>
        <v>110.96603773584906</v>
      </c>
      <c r="AD16" s="130">
        <f t="shared" si="12"/>
        <v>48.566037735849058</v>
      </c>
      <c r="AE16" s="657"/>
      <c r="AF16" s="657"/>
      <c r="AG16" s="657"/>
      <c r="AH16" s="657"/>
      <c r="AI16" s="657"/>
      <c r="AJ16" s="657"/>
      <c r="AK16" s="657"/>
      <c r="AL16" s="657"/>
      <c r="AM16" s="657"/>
    </row>
    <row r="17" spans="1:39" ht="13.15" customHeight="1">
      <c r="A17" s="80" t="str">
        <f>IF('3-H&amp;H'!A19="","",'3-H&amp;H'!A19)</f>
        <v/>
      </c>
      <c r="B17" s="41" t="str">
        <f>IF('3-H&amp;H'!B19="","",'3-H&amp;H'!B19)</f>
        <v/>
      </c>
      <c r="C17" s="213"/>
      <c r="D17" s="57" t="str">
        <f t="shared" si="0"/>
        <v/>
      </c>
      <c r="E17" s="108" t="str">
        <f t="shared" si="1"/>
        <v/>
      </c>
      <c r="F17" s="93" t="str">
        <f t="shared" si="2"/>
        <v/>
      </c>
      <c r="G17" s="93" t="str">
        <f t="shared" si="8"/>
        <v/>
      </c>
      <c r="H17" s="482" t="str">
        <f t="shared" si="3"/>
        <v/>
      </c>
      <c r="I17" s="479"/>
      <c r="J17" s="101" t="str">
        <f t="shared" si="4"/>
        <v/>
      </c>
      <c r="K17" s="93" t="str">
        <f t="shared" si="5"/>
        <v/>
      </c>
      <c r="L17" s="93" t="str">
        <f t="shared" si="6"/>
        <v/>
      </c>
      <c r="M17" s="36" t="str">
        <f t="shared" si="7"/>
        <v/>
      </c>
      <c r="N17" s="657"/>
      <c r="O17" s="657"/>
      <c r="P17" s="29" t="s">
        <v>67</v>
      </c>
      <c r="Q17" s="3" t="s">
        <v>9</v>
      </c>
      <c r="R17" s="43">
        <v>98</v>
      </c>
      <c r="S17" s="31">
        <v>31</v>
      </c>
      <c r="T17" s="34">
        <v>6</v>
      </c>
      <c r="U17" s="657"/>
      <c r="V17" s="69" t="s">
        <v>298</v>
      </c>
      <c r="W17" s="31">
        <v>6</v>
      </c>
      <c r="X17" s="31" t="s">
        <v>241</v>
      </c>
      <c r="Y17" s="43">
        <v>84</v>
      </c>
      <c r="Z17" s="119">
        <v>27</v>
      </c>
      <c r="AA17" s="121">
        <f t="shared" si="9"/>
        <v>0.96857142857142842</v>
      </c>
      <c r="AB17" s="121">
        <f t="shared" si="10"/>
        <v>0.4920174165457184</v>
      </c>
      <c r="AC17" s="121">
        <f t="shared" si="11"/>
        <v>114.70188679245283</v>
      </c>
      <c r="AD17" s="130">
        <f t="shared" si="12"/>
        <v>52.301886792452827</v>
      </c>
      <c r="AE17" s="657"/>
      <c r="AF17" s="657"/>
      <c r="AG17" s="657"/>
      <c r="AH17" s="657"/>
      <c r="AI17" s="657"/>
      <c r="AJ17" s="657"/>
      <c r="AK17" s="657"/>
      <c r="AL17" s="657"/>
      <c r="AM17" s="657"/>
    </row>
    <row r="18" spans="1:39" ht="13.15" customHeight="1">
      <c r="A18" s="80" t="str">
        <f>IF('3-H&amp;H'!A20="","",'3-H&amp;H'!A20)</f>
        <v/>
      </c>
      <c r="B18" s="41" t="str">
        <f>IF('3-H&amp;H'!B20="","",'3-H&amp;H'!B20)</f>
        <v/>
      </c>
      <c r="C18" s="213"/>
      <c r="D18" s="57" t="str">
        <f t="shared" si="0"/>
        <v/>
      </c>
      <c r="E18" s="108" t="str">
        <f t="shared" si="1"/>
        <v/>
      </c>
      <c r="F18" s="93" t="str">
        <f t="shared" si="2"/>
        <v/>
      </c>
      <c r="G18" s="93" t="str">
        <f t="shared" si="8"/>
        <v/>
      </c>
      <c r="H18" s="482" t="str">
        <f t="shared" si="3"/>
        <v/>
      </c>
      <c r="I18" s="479"/>
      <c r="J18" s="101" t="str">
        <f t="shared" si="4"/>
        <v/>
      </c>
      <c r="K18" s="93" t="str">
        <f t="shared" si="5"/>
        <v/>
      </c>
      <c r="L18" s="93" t="str">
        <f t="shared" si="6"/>
        <v/>
      </c>
      <c r="M18" s="36" t="str">
        <f t="shared" si="7"/>
        <v/>
      </c>
      <c r="N18" s="657"/>
      <c r="O18" s="657"/>
      <c r="P18" s="29" t="s">
        <v>66</v>
      </c>
      <c r="Q18" s="3" t="s">
        <v>64</v>
      </c>
      <c r="R18" s="43">
        <v>94</v>
      </c>
      <c r="S18" s="31">
        <v>30</v>
      </c>
      <c r="T18" s="34">
        <v>7</v>
      </c>
      <c r="U18" s="657"/>
      <c r="V18" s="98" t="s">
        <v>317</v>
      </c>
      <c r="W18" s="31">
        <v>6</v>
      </c>
      <c r="X18" s="31" t="s">
        <v>241</v>
      </c>
      <c r="Y18" s="43">
        <v>90</v>
      </c>
      <c r="Z18" s="119">
        <v>32</v>
      </c>
      <c r="AA18" s="121">
        <f t="shared" si="9"/>
        <v>0.83733333333333326</v>
      </c>
      <c r="AB18" s="121">
        <f t="shared" si="10"/>
        <v>0.45573294629898403</v>
      </c>
      <c r="AC18" s="121">
        <f t="shared" si="11"/>
        <v>118.43773584905659</v>
      </c>
      <c r="AD18" s="130">
        <f t="shared" si="12"/>
        <v>56.037735849056595</v>
      </c>
      <c r="AE18" s="657"/>
      <c r="AF18" s="657"/>
      <c r="AG18" s="657"/>
      <c r="AH18" s="657"/>
      <c r="AI18" s="657"/>
      <c r="AJ18" s="657"/>
      <c r="AK18" s="657"/>
      <c r="AL18" s="657"/>
      <c r="AM18" s="657"/>
    </row>
    <row r="19" spans="1:39" ht="13.15" customHeight="1">
      <c r="A19" s="80" t="str">
        <f>IF('3-H&amp;H'!A21="","",'3-H&amp;H'!A21)</f>
        <v/>
      </c>
      <c r="B19" s="41" t="str">
        <f>IF('3-H&amp;H'!B21="","",'3-H&amp;H'!B21)</f>
        <v/>
      </c>
      <c r="C19" s="213"/>
      <c r="D19" s="57" t="str">
        <f t="shared" si="0"/>
        <v/>
      </c>
      <c r="E19" s="108" t="str">
        <f t="shared" si="1"/>
        <v/>
      </c>
      <c r="F19" s="93" t="str">
        <f t="shared" si="2"/>
        <v/>
      </c>
      <c r="G19" s="93" t="str">
        <f t="shared" si="8"/>
        <v/>
      </c>
      <c r="H19" s="482" t="str">
        <f t="shared" si="3"/>
        <v/>
      </c>
      <c r="I19" s="479"/>
      <c r="J19" s="101" t="str">
        <f t="shared" si="4"/>
        <v/>
      </c>
      <c r="K19" s="93" t="str">
        <f t="shared" si="5"/>
        <v/>
      </c>
      <c r="L19" s="93" t="str">
        <f t="shared" si="6"/>
        <v/>
      </c>
      <c r="M19" s="36" t="str">
        <f t="shared" si="7"/>
        <v/>
      </c>
      <c r="N19" s="657"/>
      <c r="O19" s="657"/>
      <c r="P19" s="29" t="s">
        <v>63</v>
      </c>
      <c r="Q19" s="3" t="s">
        <v>10</v>
      </c>
      <c r="R19" s="43">
        <v>93</v>
      </c>
      <c r="S19" s="31">
        <v>30</v>
      </c>
      <c r="T19" s="34">
        <v>7</v>
      </c>
      <c r="U19" s="657"/>
      <c r="V19" s="98" t="s">
        <v>312</v>
      </c>
      <c r="W19" s="31">
        <v>7</v>
      </c>
      <c r="X19" s="31" t="s">
        <v>242</v>
      </c>
      <c r="Y19" s="43">
        <v>82</v>
      </c>
      <c r="Z19" s="119">
        <v>30</v>
      </c>
      <c r="AA19" s="121">
        <f t="shared" si="9"/>
        <v>1.0165853658536586</v>
      </c>
      <c r="AB19" s="121">
        <f t="shared" si="10"/>
        <v>0.50411223996129662</v>
      </c>
      <c r="AC19" s="121">
        <f t="shared" si="11"/>
        <v>113.4566037735849</v>
      </c>
      <c r="AD19" s="130">
        <f t="shared" si="12"/>
        <v>51.056603773584904</v>
      </c>
      <c r="AE19" s="657"/>
      <c r="AF19" s="657"/>
      <c r="AG19" s="657"/>
      <c r="AH19" s="657"/>
      <c r="AI19" s="657"/>
      <c r="AJ19" s="657"/>
      <c r="AK19" s="657"/>
      <c r="AL19" s="657"/>
      <c r="AM19" s="657"/>
    </row>
    <row r="20" spans="1:39" ht="13.15" customHeight="1" thickBot="1">
      <c r="A20" s="80" t="str">
        <f>IF('3-H&amp;H'!A22="","",'3-H&amp;H'!A22)</f>
        <v/>
      </c>
      <c r="B20" s="41" t="str">
        <f>IF('3-H&amp;H'!B22="","",'3-H&amp;H'!B22)</f>
        <v/>
      </c>
      <c r="C20" s="213"/>
      <c r="D20" s="57" t="str">
        <f t="shared" si="0"/>
        <v/>
      </c>
      <c r="E20" s="108" t="str">
        <f t="shared" si="1"/>
        <v/>
      </c>
      <c r="F20" s="93" t="str">
        <f t="shared" si="2"/>
        <v/>
      </c>
      <c r="G20" s="93" t="str">
        <f t="shared" si="8"/>
        <v/>
      </c>
      <c r="H20" s="482" t="str">
        <f t="shared" si="3"/>
        <v/>
      </c>
      <c r="I20" s="479"/>
      <c r="J20" s="101" t="str">
        <f t="shared" si="4"/>
        <v/>
      </c>
      <c r="K20" s="93" t="str">
        <f t="shared" si="5"/>
        <v/>
      </c>
      <c r="L20" s="93" t="str">
        <f t="shared" si="6"/>
        <v/>
      </c>
      <c r="M20" s="36" t="str">
        <f t="shared" si="7"/>
        <v/>
      </c>
      <c r="N20" s="657"/>
      <c r="O20" s="657"/>
      <c r="P20" s="29" t="s">
        <v>291</v>
      </c>
      <c r="Q20" s="3" t="s">
        <v>80</v>
      </c>
      <c r="R20" s="43">
        <v>92</v>
      </c>
      <c r="S20" s="31">
        <v>30</v>
      </c>
      <c r="T20" s="34">
        <v>7</v>
      </c>
      <c r="U20" s="657"/>
      <c r="V20" s="106" t="s">
        <v>300</v>
      </c>
      <c r="W20" s="33">
        <v>1</v>
      </c>
      <c r="X20" s="33" t="s">
        <v>210</v>
      </c>
      <c r="Y20" s="97">
        <v>165</v>
      </c>
      <c r="Z20" s="120" t="s">
        <v>210</v>
      </c>
      <c r="AA20" s="31" t="s">
        <v>210</v>
      </c>
      <c r="AB20" s="31" t="s">
        <v>210</v>
      </c>
      <c r="AC20" s="31" t="s">
        <v>210</v>
      </c>
      <c r="AD20" s="34" t="s">
        <v>210</v>
      </c>
      <c r="AE20" s="657"/>
      <c r="AF20" s="657"/>
      <c r="AG20" s="657"/>
      <c r="AH20" s="657"/>
      <c r="AI20" s="657"/>
      <c r="AJ20" s="657"/>
      <c r="AK20" s="657"/>
      <c r="AL20" s="657"/>
      <c r="AM20" s="657"/>
    </row>
    <row r="21" spans="1:39" ht="13.9" customHeight="1">
      <c r="A21" s="80" t="str">
        <f>IF('3-H&amp;H'!A23="","",'3-H&amp;H'!A23)</f>
        <v/>
      </c>
      <c r="B21" s="41" t="str">
        <f>IF('3-H&amp;H'!B23="","",'3-H&amp;H'!B23)</f>
        <v/>
      </c>
      <c r="C21" s="213"/>
      <c r="D21" s="57" t="str">
        <f t="shared" si="0"/>
        <v/>
      </c>
      <c r="E21" s="108" t="str">
        <f t="shared" si="1"/>
        <v/>
      </c>
      <c r="F21" s="93" t="str">
        <f t="shared" si="2"/>
        <v/>
      </c>
      <c r="G21" s="93" t="str">
        <f t="shared" si="8"/>
        <v/>
      </c>
      <c r="H21" s="482" t="str">
        <f t="shared" si="3"/>
        <v/>
      </c>
      <c r="I21" s="479"/>
      <c r="J21" s="101" t="str">
        <f t="shared" si="4"/>
        <v/>
      </c>
      <c r="K21" s="93" t="str">
        <f t="shared" si="5"/>
        <v/>
      </c>
      <c r="L21" s="93" t="str">
        <f t="shared" si="6"/>
        <v/>
      </c>
      <c r="M21" s="36" t="str">
        <f t="shared" si="7"/>
        <v/>
      </c>
      <c r="N21" s="657"/>
      <c r="O21" s="657"/>
      <c r="P21" s="29" t="s">
        <v>292</v>
      </c>
      <c r="Q21" s="3" t="s">
        <v>289</v>
      </c>
      <c r="R21" s="43">
        <v>82</v>
      </c>
      <c r="S21" s="31">
        <v>30</v>
      </c>
      <c r="T21" s="34">
        <v>7</v>
      </c>
      <c r="U21" s="657"/>
      <c r="V21" s="204" t="s">
        <v>313</v>
      </c>
      <c r="W21" s="235" t="s">
        <v>168</v>
      </c>
      <c r="X21" s="205" t="s">
        <v>168</v>
      </c>
      <c r="Y21" s="233" t="s">
        <v>168</v>
      </c>
      <c r="Z21" s="237" t="s">
        <v>168</v>
      </c>
      <c r="AA21" s="125" t="str">
        <f>IF(Y21="(input)","",((SG*SWWater)/Y21)-1)</f>
        <v/>
      </c>
      <c r="AB21" s="121" t="str">
        <f>IF(Y21="(input)","",AA21/(1+AA21))</f>
        <v/>
      </c>
      <c r="AC21" s="121" t="str">
        <f>IF(Y21="(input)","",((SG+AA21)*SWWater)/(1+AA21))</f>
        <v/>
      </c>
      <c r="AD21" s="126" t="str">
        <f>IF(Y21="(input)","",AC21-SWWater)</f>
        <v/>
      </c>
      <c r="AE21" s="737"/>
      <c r="AF21" s="657"/>
      <c r="AG21" s="657"/>
      <c r="AH21" s="657"/>
      <c r="AI21" s="657"/>
      <c r="AJ21" s="657"/>
      <c r="AK21" s="657"/>
      <c r="AL21" s="657"/>
      <c r="AM21" s="657"/>
    </row>
    <row r="22" spans="1:39" ht="13.5" thickBot="1">
      <c r="A22" s="80" t="str">
        <f>IF('3-H&amp;H'!A24="","",'3-H&amp;H'!A24)</f>
        <v/>
      </c>
      <c r="B22" s="41" t="str">
        <f>IF('3-H&amp;H'!B24="","",'3-H&amp;H'!B24)</f>
        <v/>
      </c>
      <c r="C22" s="213"/>
      <c r="D22" s="57" t="str">
        <f t="shared" si="0"/>
        <v/>
      </c>
      <c r="E22" s="108" t="str">
        <f t="shared" si="1"/>
        <v/>
      </c>
      <c r="F22" s="93" t="str">
        <f t="shared" si="2"/>
        <v/>
      </c>
      <c r="G22" s="93" t="str">
        <f t="shared" si="8"/>
        <v/>
      </c>
      <c r="H22" s="482" t="str">
        <f t="shared" si="3"/>
        <v/>
      </c>
      <c r="I22" s="479"/>
      <c r="J22" s="101" t="str">
        <f t="shared" si="4"/>
        <v/>
      </c>
      <c r="K22" s="93" t="str">
        <f t="shared" si="5"/>
        <v/>
      </c>
      <c r="L22" s="93" t="str">
        <f t="shared" si="6"/>
        <v/>
      </c>
      <c r="M22" s="36" t="str">
        <f t="shared" si="7"/>
        <v/>
      </c>
      <c r="N22" s="657"/>
      <c r="O22" s="657"/>
      <c r="P22" s="30" t="s">
        <v>293</v>
      </c>
      <c r="Q22" s="4" t="s">
        <v>290</v>
      </c>
      <c r="R22" s="47">
        <v>78</v>
      </c>
      <c r="S22" s="110">
        <v>25</v>
      </c>
      <c r="T22" s="35">
        <v>7</v>
      </c>
      <c r="U22" s="657"/>
      <c r="V22" s="209" t="s">
        <v>314</v>
      </c>
      <c r="W22" s="240" t="s">
        <v>168</v>
      </c>
      <c r="X22" s="210" t="s">
        <v>168</v>
      </c>
      <c r="Y22" s="239" t="s">
        <v>168</v>
      </c>
      <c r="Z22" s="241" t="s">
        <v>168</v>
      </c>
      <c r="AA22" s="127" t="str">
        <f>IF(Y22="(input)","",((SG*SWWater)/Y22)-1)</f>
        <v/>
      </c>
      <c r="AB22" s="128" t="str">
        <f>IF(Y22="(input)","",AA22/(1+AA22))</f>
        <v/>
      </c>
      <c r="AC22" s="128" t="str">
        <f>IF(Y22="(input)","",((SG+AA22)*SWWater)/(1+AA22))</f>
        <v/>
      </c>
      <c r="AD22" s="129" t="str">
        <f>IF(Y22="(input)","",AC22-SWWater)</f>
        <v/>
      </c>
      <c r="AE22" s="737"/>
      <c r="AF22" s="657"/>
      <c r="AG22" s="657"/>
      <c r="AH22" s="657"/>
      <c r="AI22" s="657"/>
      <c r="AJ22" s="657"/>
      <c r="AK22" s="657"/>
      <c r="AL22" s="657"/>
      <c r="AM22" s="657"/>
    </row>
    <row r="23" spans="1:39" ht="14.25">
      <c r="A23" s="80" t="str">
        <f>IF('3-H&amp;H'!A25="","",'3-H&amp;H'!A25)</f>
        <v/>
      </c>
      <c r="B23" s="41" t="str">
        <f>IF('3-H&amp;H'!B25="","",'3-H&amp;H'!B25)</f>
        <v/>
      </c>
      <c r="C23" s="213"/>
      <c r="D23" s="57" t="str">
        <f t="shared" si="0"/>
        <v/>
      </c>
      <c r="E23" s="108" t="str">
        <f t="shared" si="1"/>
        <v/>
      </c>
      <c r="F23" s="93" t="str">
        <f t="shared" si="2"/>
        <v/>
      </c>
      <c r="G23" s="93" t="str">
        <f t="shared" si="8"/>
        <v/>
      </c>
      <c r="H23" s="482" t="str">
        <f t="shared" si="3"/>
        <v/>
      </c>
      <c r="I23" s="479"/>
      <c r="J23" s="101" t="str">
        <f t="shared" si="4"/>
        <v/>
      </c>
      <c r="K23" s="93" t="str">
        <f t="shared" si="5"/>
        <v/>
      </c>
      <c r="L23" s="93" t="str">
        <f t="shared" si="6"/>
        <v/>
      </c>
      <c r="M23" s="36" t="str">
        <f t="shared" si="7"/>
        <v/>
      </c>
      <c r="N23" s="657"/>
      <c r="O23" s="657"/>
      <c r="P23" s="677" t="s">
        <v>516</v>
      </c>
      <c r="Q23" s="657"/>
      <c r="R23" s="657"/>
      <c r="S23" s="657"/>
      <c r="T23" s="657"/>
      <c r="U23" s="657"/>
      <c r="V23" s="677" t="s">
        <v>514</v>
      </c>
      <c r="W23" s="657"/>
      <c r="X23" s="657"/>
      <c r="Y23" s="657"/>
      <c r="Z23" s="657"/>
      <c r="AA23" s="657"/>
      <c r="AB23" s="657"/>
      <c r="AC23" s="657"/>
      <c r="AD23" s="657"/>
      <c r="AE23" s="657"/>
      <c r="AF23" s="657"/>
      <c r="AG23" s="657"/>
      <c r="AH23" s="657"/>
      <c r="AI23" s="657"/>
      <c r="AJ23" s="657"/>
      <c r="AK23" s="657"/>
      <c r="AL23" s="657"/>
      <c r="AM23" s="657"/>
    </row>
    <row r="24" spans="1:39" ht="15.75">
      <c r="A24" s="80" t="str">
        <f>IF('3-H&amp;H'!A26="","",'3-H&amp;H'!A26)</f>
        <v/>
      </c>
      <c r="B24" s="41" t="str">
        <f>IF('3-H&amp;H'!B26="","",'3-H&amp;H'!B26)</f>
        <v/>
      </c>
      <c r="C24" s="213"/>
      <c r="D24" s="57" t="str">
        <f t="shared" si="0"/>
        <v/>
      </c>
      <c r="E24" s="108" t="str">
        <f t="shared" si="1"/>
        <v/>
      </c>
      <c r="F24" s="93" t="str">
        <f t="shared" si="2"/>
        <v/>
      </c>
      <c r="G24" s="93" t="str">
        <f t="shared" si="8"/>
        <v/>
      </c>
      <c r="H24" s="482" t="str">
        <f t="shared" si="3"/>
        <v/>
      </c>
      <c r="I24" s="479"/>
      <c r="J24" s="101" t="str">
        <f t="shared" si="4"/>
        <v/>
      </c>
      <c r="K24" s="93" t="str">
        <f t="shared" si="5"/>
        <v/>
      </c>
      <c r="L24" s="93" t="str">
        <f t="shared" si="6"/>
        <v/>
      </c>
      <c r="M24" s="36" t="str">
        <f t="shared" si="7"/>
        <v/>
      </c>
      <c r="N24" s="657"/>
      <c r="O24" s="657"/>
      <c r="P24" s="657"/>
      <c r="Q24" s="657"/>
      <c r="R24" s="657"/>
      <c r="S24" s="657"/>
      <c r="T24" s="657"/>
      <c r="U24" s="657"/>
      <c r="V24" s="677" t="s">
        <v>1054</v>
      </c>
      <c r="W24" s="657"/>
      <c r="X24" s="657"/>
      <c r="Y24" s="657"/>
      <c r="Z24" s="657"/>
      <c r="AA24" s="657"/>
      <c r="AB24" s="657"/>
      <c r="AC24" s="657"/>
      <c r="AD24" s="657"/>
      <c r="AE24" s="657"/>
      <c r="AF24" s="657"/>
      <c r="AG24" s="657"/>
      <c r="AH24" s="657"/>
      <c r="AI24" s="657"/>
      <c r="AJ24" s="657"/>
      <c r="AK24" s="657"/>
      <c r="AL24" s="657"/>
      <c r="AM24" s="657"/>
    </row>
    <row r="25" spans="1:39" ht="15.75">
      <c r="A25" s="80" t="str">
        <f>IF('3-H&amp;H'!A27="","",'3-H&amp;H'!A27)</f>
        <v/>
      </c>
      <c r="B25" s="41" t="str">
        <f>IF('3-H&amp;H'!B27="","",'3-H&amp;H'!B27)</f>
        <v/>
      </c>
      <c r="C25" s="213"/>
      <c r="D25" s="57" t="str">
        <f t="shared" si="0"/>
        <v/>
      </c>
      <c r="E25" s="108" t="str">
        <f t="shared" si="1"/>
        <v/>
      </c>
      <c r="F25" s="93" t="str">
        <f t="shared" si="2"/>
        <v/>
      </c>
      <c r="G25" s="93" t="str">
        <f t="shared" si="8"/>
        <v/>
      </c>
      <c r="H25" s="482" t="str">
        <f t="shared" si="3"/>
        <v/>
      </c>
      <c r="I25" s="479"/>
      <c r="J25" s="101" t="str">
        <f t="shared" si="4"/>
        <v/>
      </c>
      <c r="K25" s="93" t="str">
        <f t="shared" si="5"/>
        <v/>
      </c>
      <c r="L25" s="93" t="str">
        <f t="shared" si="6"/>
        <v/>
      </c>
      <c r="M25" s="36" t="str">
        <f t="shared" si="7"/>
        <v/>
      </c>
      <c r="N25" s="657"/>
      <c r="O25" s="657"/>
      <c r="P25" s="657"/>
      <c r="Q25" s="657"/>
      <c r="R25" s="657"/>
      <c r="S25" s="657"/>
      <c r="T25" s="657"/>
      <c r="U25" s="657"/>
      <c r="V25" s="677" t="s">
        <v>1055</v>
      </c>
      <c r="W25" s="657"/>
      <c r="X25" s="657"/>
      <c r="Y25" s="657"/>
      <c r="Z25" s="657"/>
      <c r="AA25" s="657"/>
      <c r="AB25" s="657"/>
      <c r="AC25" s="657"/>
      <c r="AD25" s="657"/>
      <c r="AE25" s="657"/>
      <c r="AF25" s="657"/>
      <c r="AG25" s="657"/>
      <c r="AH25" s="657"/>
      <c r="AI25" s="657"/>
      <c r="AJ25" s="657"/>
      <c r="AK25" s="657"/>
      <c r="AL25" s="657"/>
      <c r="AM25" s="657"/>
    </row>
    <row r="26" spans="1:39" ht="16.5" thickBot="1">
      <c r="A26" s="81" t="str">
        <f>IF('3-H&amp;H'!A28="","",'3-H&amp;H'!A28)</f>
        <v/>
      </c>
      <c r="B26" s="42" t="str">
        <f>IF('3-H&amp;H'!B28="","",'3-H&amp;H'!B28)</f>
        <v/>
      </c>
      <c r="C26" s="214"/>
      <c r="D26" s="58" t="str">
        <f t="shared" si="0"/>
        <v/>
      </c>
      <c r="E26" s="109" t="str">
        <f t="shared" si="1"/>
        <v/>
      </c>
      <c r="F26" s="94" t="str">
        <f t="shared" si="2"/>
        <v/>
      </c>
      <c r="G26" s="94" t="str">
        <f t="shared" si="8"/>
        <v/>
      </c>
      <c r="H26" s="483" t="str">
        <f t="shared" si="3"/>
        <v/>
      </c>
      <c r="I26" s="480"/>
      <c r="J26" s="102" t="str">
        <f t="shared" si="4"/>
        <v/>
      </c>
      <c r="K26" s="94" t="str">
        <f t="shared" si="5"/>
        <v/>
      </c>
      <c r="L26" s="94" t="str">
        <f t="shared" si="6"/>
        <v/>
      </c>
      <c r="M26" s="37" t="str">
        <f t="shared" si="7"/>
        <v/>
      </c>
      <c r="N26" s="657"/>
      <c r="O26" s="657"/>
      <c r="P26" s="657"/>
      <c r="Q26" s="657"/>
      <c r="R26" s="657"/>
      <c r="S26" s="657"/>
      <c r="T26" s="657"/>
      <c r="U26" s="657"/>
      <c r="V26" s="677" t="s">
        <v>515</v>
      </c>
      <c r="W26" s="657"/>
      <c r="X26" s="657"/>
      <c r="Y26" s="657"/>
      <c r="Z26" s="657"/>
      <c r="AA26" s="657"/>
      <c r="AB26" s="657"/>
      <c r="AC26" s="657"/>
      <c r="AD26" s="657"/>
      <c r="AE26" s="657"/>
      <c r="AF26" s="657"/>
      <c r="AG26" s="657"/>
      <c r="AH26" s="657"/>
      <c r="AI26" s="657"/>
      <c r="AJ26" s="657"/>
      <c r="AK26" s="657"/>
      <c r="AL26" s="657"/>
      <c r="AM26" s="657"/>
    </row>
    <row r="27" spans="1:39">
      <c r="A27" s="657"/>
      <c r="B27" s="657"/>
      <c r="C27" s="724" t="s">
        <v>32</v>
      </c>
      <c r="D27" s="891" t="s">
        <v>322</v>
      </c>
      <c r="E27" s="892"/>
      <c r="F27" s="892"/>
      <c r="G27" s="892"/>
      <c r="H27" s="892"/>
      <c r="I27" s="738"/>
      <c r="J27" s="738"/>
      <c r="K27" s="738"/>
      <c r="L27" s="738"/>
      <c r="M27" s="738"/>
      <c r="N27" s="657"/>
      <c r="O27" s="657"/>
      <c r="P27" s="657"/>
      <c r="Q27" s="657"/>
      <c r="R27" s="657"/>
      <c r="S27" s="657"/>
      <c r="T27" s="657"/>
      <c r="U27" s="657"/>
      <c r="V27" s="657"/>
      <c r="W27" s="657"/>
      <c r="X27" s="657"/>
      <c r="Y27" s="657"/>
      <c r="Z27" s="657"/>
      <c r="AA27" s="657"/>
      <c r="AB27" s="657"/>
      <c r="AC27" s="657"/>
      <c r="AD27" s="657"/>
      <c r="AE27" s="657"/>
      <c r="AF27" s="657"/>
      <c r="AG27" s="657"/>
      <c r="AH27" s="657"/>
      <c r="AI27" s="657"/>
      <c r="AJ27" s="657"/>
      <c r="AK27" s="657"/>
      <c r="AL27" s="657"/>
      <c r="AM27" s="657"/>
    </row>
    <row r="28" spans="1:39" ht="14.45" customHeight="1">
      <c r="A28" s="657"/>
      <c r="B28" s="677"/>
      <c r="C28" s="680"/>
      <c r="D28" s="824"/>
      <c r="E28" s="824"/>
      <c r="F28" s="824"/>
      <c r="G28" s="824"/>
      <c r="H28" s="824"/>
      <c r="I28" s="680"/>
      <c r="J28" s="680"/>
      <c r="K28" s="680"/>
      <c r="L28" s="680"/>
      <c r="M28" s="680"/>
      <c r="N28" s="680"/>
      <c r="O28" s="680"/>
      <c r="P28" s="657"/>
      <c r="Q28" s="657"/>
      <c r="R28" s="657"/>
      <c r="S28" s="657"/>
      <c r="T28" s="657"/>
      <c r="U28" s="657"/>
      <c r="V28" s="657"/>
      <c r="W28" s="657"/>
      <c r="X28" s="657"/>
      <c r="Y28" s="657"/>
      <c r="Z28" s="657"/>
      <c r="AA28" s="657"/>
      <c r="AB28" s="657"/>
      <c r="AC28" s="657"/>
      <c r="AD28" s="657"/>
      <c r="AE28" s="657"/>
      <c r="AF28" s="657"/>
      <c r="AG28" s="657"/>
      <c r="AH28" s="657"/>
      <c r="AI28" s="657"/>
      <c r="AJ28" s="657"/>
      <c r="AK28" s="657"/>
      <c r="AL28" s="657"/>
      <c r="AM28" s="657"/>
    </row>
    <row r="29" spans="1:39" ht="15.75">
      <c r="A29" s="657"/>
      <c r="B29" s="657"/>
      <c r="C29" s="739" t="s">
        <v>824</v>
      </c>
      <c r="D29" s="740"/>
      <c r="E29" s="740"/>
      <c r="F29" s="740"/>
      <c r="G29" s="741" t="s">
        <v>791</v>
      </c>
      <c r="H29" s="742"/>
      <c r="I29" s="657"/>
      <c r="J29" s="657"/>
      <c r="K29" s="657"/>
      <c r="L29" s="657"/>
      <c r="M29" s="657"/>
      <c r="N29" s="680"/>
      <c r="O29" s="680"/>
      <c r="P29" s="657"/>
      <c r="Q29" s="657"/>
      <c r="R29" s="657"/>
      <c r="S29" s="657"/>
      <c r="T29" s="657"/>
      <c r="U29" s="657"/>
      <c r="V29" s="657"/>
      <c r="W29" s="657"/>
      <c r="X29" s="657"/>
      <c r="Y29" s="657"/>
      <c r="Z29" s="657"/>
      <c r="AA29" s="657"/>
      <c r="AB29" s="657"/>
      <c r="AC29" s="657"/>
      <c r="AD29" s="657"/>
      <c r="AE29" s="657"/>
      <c r="AF29" s="657"/>
      <c r="AG29" s="657"/>
      <c r="AH29" s="657"/>
      <c r="AI29" s="657"/>
      <c r="AJ29" s="657"/>
      <c r="AK29" s="657"/>
      <c r="AL29" s="657"/>
      <c r="AM29" s="657"/>
    </row>
    <row r="30" spans="1:39" ht="14.25">
      <c r="A30" s="657"/>
      <c r="B30" s="657"/>
      <c r="C30" s="657"/>
      <c r="D30" s="743" t="s">
        <v>284</v>
      </c>
      <c r="E30" s="714">
        <v>6.2427999999999997E-2</v>
      </c>
      <c r="F30" s="720" t="s">
        <v>285</v>
      </c>
      <c r="G30" s="742"/>
      <c r="H30" s="742"/>
      <c r="I30" s="657"/>
      <c r="J30" s="657"/>
      <c r="K30" s="657"/>
      <c r="L30" s="657"/>
      <c r="M30" s="657"/>
      <c r="N30" s="657"/>
      <c r="O30" s="657"/>
      <c r="P30" s="657"/>
      <c r="Q30" s="657"/>
      <c r="R30" s="657"/>
      <c r="S30" s="657"/>
      <c r="T30" s="657"/>
      <c r="U30" s="657"/>
      <c r="V30" s="657"/>
      <c r="W30" s="657"/>
      <c r="X30" s="657"/>
      <c r="Y30" s="657"/>
      <c r="Z30" s="657"/>
      <c r="AA30" s="657"/>
      <c r="AB30" s="657"/>
      <c r="AC30" s="657"/>
      <c r="AD30" s="657"/>
      <c r="AE30" s="657"/>
      <c r="AF30" s="657"/>
      <c r="AG30" s="657"/>
      <c r="AH30" s="657"/>
      <c r="AI30" s="657"/>
      <c r="AJ30" s="657"/>
      <c r="AK30" s="657"/>
      <c r="AL30" s="657"/>
      <c r="AM30" s="657"/>
    </row>
    <row r="31" spans="1:39">
      <c r="A31" s="657"/>
      <c r="B31" s="657"/>
      <c r="C31" s="657"/>
      <c r="D31" s="657"/>
      <c r="E31" s="657"/>
      <c r="F31" s="657"/>
      <c r="G31" s="742"/>
      <c r="H31" s="742"/>
      <c r="I31" s="657"/>
      <c r="J31" s="657"/>
      <c r="K31" s="657"/>
      <c r="L31" s="657"/>
      <c r="M31" s="657"/>
      <c r="N31" s="657"/>
      <c r="O31" s="657"/>
      <c r="P31" s="657"/>
      <c r="Q31" s="657"/>
      <c r="R31" s="657"/>
      <c r="S31" s="657"/>
      <c r="T31" s="657"/>
      <c r="U31" s="657"/>
      <c r="V31" s="657"/>
      <c r="W31" s="657"/>
      <c r="X31" s="657"/>
      <c r="Y31" s="657"/>
      <c r="Z31" s="657"/>
      <c r="AA31" s="657"/>
      <c r="AB31" s="657"/>
      <c r="AC31" s="657"/>
      <c r="AD31" s="657"/>
      <c r="AE31" s="657"/>
      <c r="AF31" s="657"/>
      <c r="AG31" s="657"/>
      <c r="AH31" s="657"/>
      <c r="AI31" s="657"/>
      <c r="AJ31" s="657"/>
      <c r="AK31" s="657"/>
      <c r="AL31" s="657"/>
      <c r="AM31" s="657"/>
    </row>
    <row r="32" spans="1:39">
      <c r="A32" s="657"/>
      <c r="B32" s="657"/>
      <c r="C32" s="657"/>
      <c r="D32" s="657"/>
      <c r="E32" s="657"/>
      <c r="F32" s="657"/>
      <c r="G32" s="657"/>
      <c r="H32" s="657"/>
      <c r="I32" s="657"/>
      <c r="J32" s="657"/>
      <c r="K32" s="657"/>
      <c r="L32" s="657"/>
      <c r="M32" s="657"/>
      <c r="N32" s="657"/>
      <c r="O32" s="657"/>
      <c r="P32" s="657"/>
      <c r="Q32" s="657"/>
      <c r="R32" s="657"/>
      <c r="S32" s="657"/>
      <c r="T32" s="657"/>
      <c r="U32" s="657"/>
      <c r="V32" s="657"/>
      <c r="W32" s="657"/>
      <c r="X32" s="657"/>
      <c r="Y32" s="657"/>
      <c r="Z32" s="657"/>
      <c r="AA32" s="657"/>
      <c r="AB32" s="657"/>
      <c r="AC32" s="657"/>
      <c r="AD32" s="657"/>
      <c r="AE32" s="657"/>
      <c r="AF32" s="657"/>
      <c r="AG32" s="657"/>
      <c r="AH32" s="657"/>
      <c r="AI32" s="657"/>
      <c r="AJ32" s="657"/>
      <c r="AK32" s="657"/>
      <c r="AL32" s="657"/>
      <c r="AM32" s="657"/>
    </row>
    <row r="33" spans="1:39">
      <c r="A33" s="657"/>
      <c r="B33" s="657"/>
      <c r="C33" s="657"/>
      <c r="D33" s="657"/>
      <c r="E33" s="657"/>
      <c r="F33" s="657"/>
      <c r="G33" s="657"/>
      <c r="H33" s="657"/>
      <c r="I33" s="657"/>
      <c r="J33" s="657"/>
      <c r="K33" s="657"/>
      <c r="L33" s="657"/>
      <c r="M33" s="657"/>
      <c r="N33" s="657"/>
      <c r="O33" s="657"/>
      <c r="P33" s="657"/>
      <c r="Q33" s="657"/>
      <c r="R33" s="657"/>
      <c r="S33" s="657"/>
      <c r="T33" s="657"/>
      <c r="U33" s="657"/>
      <c r="V33" s="657"/>
      <c r="W33" s="657"/>
      <c r="X33" s="657"/>
      <c r="Y33" s="657"/>
      <c r="Z33" s="657"/>
      <c r="AA33" s="657"/>
      <c r="AB33" s="657"/>
      <c r="AC33" s="657"/>
      <c r="AD33" s="657"/>
      <c r="AE33" s="657"/>
      <c r="AF33" s="657"/>
      <c r="AG33" s="657"/>
      <c r="AH33" s="657"/>
      <c r="AI33" s="657"/>
      <c r="AJ33" s="657"/>
      <c r="AK33" s="657"/>
      <c r="AL33" s="657"/>
      <c r="AM33" s="657"/>
    </row>
    <row r="34" spans="1:39">
      <c r="A34" s="657"/>
      <c r="B34" s="657"/>
      <c r="C34" s="657"/>
      <c r="D34" s="657"/>
      <c r="E34" s="657"/>
      <c r="F34" s="657"/>
      <c r="G34" s="657"/>
      <c r="H34" s="657"/>
      <c r="I34" s="657"/>
      <c r="J34" s="657"/>
      <c r="K34" s="657"/>
      <c r="L34" s="657"/>
      <c r="M34" s="657"/>
      <c r="N34" s="657"/>
      <c r="O34" s="657"/>
      <c r="P34" s="657"/>
      <c r="Q34" s="657"/>
      <c r="R34" s="657"/>
      <c r="S34" s="657"/>
      <c r="T34" s="657"/>
      <c r="U34" s="657"/>
      <c r="V34" s="657"/>
      <c r="W34" s="657"/>
      <c r="X34" s="657"/>
      <c r="Y34" s="657"/>
      <c r="Z34" s="657"/>
      <c r="AA34" s="657"/>
      <c r="AB34" s="657"/>
      <c r="AC34" s="657"/>
      <c r="AD34" s="657"/>
      <c r="AE34" s="657"/>
      <c r="AF34" s="657"/>
      <c r="AG34" s="657"/>
      <c r="AH34" s="657"/>
      <c r="AI34" s="657"/>
      <c r="AJ34" s="657"/>
      <c r="AK34" s="657"/>
      <c r="AL34" s="657"/>
      <c r="AM34" s="657"/>
    </row>
    <row r="35" spans="1:39">
      <c r="A35" s="657"/>
      <c r="B35" s="657"/>
      <c r="C35" s="657"/>
      <c r="D35" s="657"/>
      <c r="E35" s="657"/>
      <c r="F35" s="657"/>
      <c r="G35" s="657"/>
      <c r="H35" s="657"/>
      <c r="I35" s="657"/>
      <c r="J35" s="657"/>
      <c r="K35" s="657"/>
      <c r="L35" s="657"/>
      <c r="M35" s="657"/>
      <c r="N35" s="657"/>
      <c r="O35" s="657"/>
      <c r="P35" s="657"/>
      <c r="Q35" s="657"/>
      <c r="R35" s="657"/>
      <c r="S35" s="657"/>
      <c r="T35" s="657"/>
      <c r="U35" s="657"/>
      <c r="V35" s="657"/>
      <c r="W35" s="657"/>
      <c r="X35" s="657"/>
      <c r="Y35" s="657"/>
      <c r="Z35" s="657"/>
      <c r="AA35" s="657"/>
      <c r="AB35" s="657"/>
      <c r="AC35" s="657"/>
      <c r="AD35" s="657"/>
      <c r="AE35" s="657"/>
      <c r="AF35" s="657"/>
      <c r="AG35" s="657"/>
      <c r="AH35" s="657"/>
      <c r="AI35" s="657"/>
      <c r="AJ35" s="657"/>
      <c r="AK35" s="657"/>
      <c r="AL35" s="657"/>
      <c r="AM35" s="657"/>
    </row>
    <row r="36" spans="1:39">
      <c r="A36" s="657"/>
      <c r="B36" s="657"/>
      <c r="C36" s="657"/>
      <c r="D36" s="657"/>
      <c r="E36" s="657"/>
      <c r="F36" s="657"/>
      <c r="G36" s="657"/>
      <c r="H36" s="657"/>
      <c r="I36" s="657"/>
      <c r="J36" s="657"/>
      <c r="K36" s="657"/>
      <c r="L36" s="657"/>
      <c r="M36" s="657"/>
      <c r="N36" s="657"/>
      <c r="O36" s="657"/>
      <c r="P36" s="657"/>
      <c r="Q36" s="657"/>
      <c r="R36" s="657"/>
      <c r="S36" s="657"/>
      <c r="T36" s="657"/>
      <c r="U36" s="657"/>
      <c r="V36" s="657"/>
      <c r="W36" s="657"/>
      <c r="X36" s="657"/>
      <c r="Y36" s="657"/>
      <c r="Z36" s="657"/>
      <c r="AA36" s="657"/>
      <c r="AB36" s="657"/>
      <c r="AC36" s="657"/>
      <c r="AD36" s="657"/>
      <c r="AE36" s="657"/>
      <c r="AF36" s="657"/>
      <c r="AG36" s="657"/>
      <c r="AH36" s="657"/>
      <c r="AI36" s="657"/>
      <c r="AJ36" s="657"/>
      <c r="AK36" s="657"/>
      <c r="AL36" s="657"/>
      <c r="AM36" s="657"/>
    </row>
    <row r="37" spans="1:39">
      <c r="A37" s="657"/>
      <c r="B37" s="657"/>
      <c r="C37" s="657"/>
      <c r="D37" s="657"/>
      <c r="E37" s="657"/>
      <c r="F37" s="657"/>
      <c r="G37" s="657"/>
      <c r="H37" s="657"/>
      <c r="I37" s="657"/>
      <c r="J37" s="657"/>
      <c r="K37" s="657"/>
      <c r="L37" s="657"/>
      <c r="M37" s="657"/>
      <c r="N37" s="657"/>
      <c r="O37" s="657"/>
      <c r="P37" s="657"/>
      <c r="Q37" s="657"/>
      <c r="R37" s="657"/>
      <c r="S37" s="657"/>
      <c r="T37" s="657"/>
      <c r="U37" s="657"/>
      <c r="V37" s="657"/>
      <c r="W37" s="657"/>
      <c r="X37" s="657"/>
      <c r="Y37" s="657"/>
      <c r="Z37" s="657"/>
      <c r="AA37" s="657"/>
      <c r="AB37" s="657"/>
      <c r="AC37" s="657"/>
      <c r="AD37" s="657"/>
      <c r="AE37" s="657"/>
      <c r="AF37" s="657"/>
      <c r="AG37" s="657"/>
      <c r="AH37" s="657"/>
      <c r="AI37" s="657"/>
      <c r="AJ37" s="657"/>
      <c r="AK37" s="657"/>
      <c r="AL37" s="657"/>
      <c r="AM37" s="657"/>
    </row>
    <row r="38" spans="1:39">
      <c r="A38" s="657"/>
      <c r="B38" s="657"/>
      <c r="C38" s="657"/>
      <c r="D38" s="657"/>
      <c r="E38" s="657"/>
      <c r="F38" s="657"/>
      <c r="G38" s="657"/>
      <c r="H38" s="657"/>
      <c r="I38" s="657"/>
      <c r="J38" s="657"/>
      <c r="K38" s="657"/>
      <c r="L38" s="657"/>
      <c r="M38" s="657"/>
      <c r="N38" s="657"/>
      <c r="O38" s="657"/>
      <c r="P38" s="657"/>
      <c r="Q38" s="657"/>
      <c r="R38" s="657"/>
      <c r="S38" s="657"/>
      <c r="T38" s="657"/>
      <c r="U38" s="657"/>
      <c r="V38" s="657"/>
      <c r="W38" s="657"/>
      <c r="X38" s="657"/>
      <c r="Y38" s="657"/>
      <c r="Z38" s="657"/>
      <c r="AA38" s="657"/>
      <c r="AB38" s="657"/>
      <c r="AC38" s="657"/>
      <c r="AD38" s="657"/>
      <c r="AE38" s="657"/>
      <c r="AF38" s="657"/>
      <c r="AG38" s="657"/>
      <c r="AH38" s="657"/>
      <c r="AI38" s="657"/>
      <c r="AJ38" s="657"/>
      <c r="AK38" s="657"/>
      <c r="AL38" s="657"/>
      <c r="AM38" s="657"/>
    </row>
    <row r="39" spans="1:39">
      <c r="A39" s="657"/>
      <c r="B39" s="657"/>
      <c r="C39" s="657"/>
      <c r="D39" s="657"/>
      <c r="E39" s="657"/>
      <c r="F39" s="657"/>
      <c r="G39" s="657"/>
      <c r="H39" s="657"/>
      <c r="I39" s="657"/>
      <c r="J39" s="657"/>
      <c r="K39" s="657"/>
      <c r="L39" s="657"/>
      <c r="M39" s="657"/>
      <c r="N39" s="657"/>
      <c r="O39" s="657"/>
      <c r="P39" s="657"/>
      <c r="Q39" s="657"/>
      <c r="R39" s="657"/>
      <c r="S39" s="657"/>
      <c r="T39" s="657"/>
      <c r="U39" s="657"/>
      <c r="V39" s="657"/>
      <c r="W39" s="657"/>
      <c r="X39" s="657"/>
      <c r="Y39" s="657"/>
      <c r="Z39" s="657"/>
      <c r="AA39" s="657"/>
      <c r="AB39" s="657"/>
      <c r="AC39" s="657"/>
      <c r="AD39" s="657"/>
      <c r="AE39" s="657"/>
      <c r="AF39" s="657"/>
      <c r="AG39" s="657"/>
      <c r="AH39" s="657"/>
      <c r="AI39" s="657"/>
      <c r="AJ39" s="657"/>
      <c r="AK39" s="657"/>
      <c r="AL39" s="657"/>
      <c r="AM39" s="657"/>
    </row>
    <row r="40" spans="1:39">
      <c r="A40" s="657"/>
      <c r="B40" s="657"/>
      <c r="C40" s="657"/>
      <c r="D40" s="657"/>
      <c r="E40" s="657"/>
      <c r="F40" s="657"/>
      <c r="G40" s="657"/>
      <c r="H40" s="657"/>
      <c r="I40" s="657"/>
      <c r="J40" s="657"/>
      <c r="K40" s="657"/>
      <c r="L40" s="657"/>
      <c r="M40" s="657"/>
      <c r="N40" s="657"/>
      <c r="O40" s="657"/>
      <c r="P40" s="657"/>
      <c r="Q40" s="657"/>
      <c r="R40" s="657"/>
      <c r="S40" s="657"/>
      <c r="T40" s="657"/>
      <c r="U40" s="657"/>
      <c r="V40" s="657"/>
      <c r="W40" s="657"/>
      <c r="X40" s="657"/>
      <c r="Y40" s="657"/>
      <c r="Z40" s="657"/>
      <c r="AA40" s="657"/>
      <c r="AB40" s="657"/>
      <c r="AC40" s="657"/>
      <c r="AD40" s="657"/>
      <c r="AE40" s="657"/>
      <c r="AF40" s="657"/>
      <c r="AG40" s="657"/>
      <c r="AH40" s="657"/>
      <c r="AI40" s="657"/>
      <c r="AJ40" s="657"/>
      <c r="AK40" s="657"/>
      <c r="AL40" s="657"/>
      <c r="AM40" s="657"/>
    </row>
    <row r="41" spans="1:39">
      <c r="A41" s="657"/>
      <c r="B41" s="657"/>
      <c r="C41" s="657"/>
      <c r="D41" s="657"/>
      <c r="E41" s="657"/>
      <c r="F41" s="657"/>
      <c r="G41" s="657"/>
      <c r="H41" s="657"/>
      <c r="I41" s="657"/>
      <c r="J41" s="657"/>
      <c r="K41" s="657"/>
      <c r="L41" s="657"/>
      <c r="M41" s="657"/>
      <c r="N41" s="657"/>
      <c r="O41" s="657"/>
      <c r="P41" s="657"/>
      <c r="Q41" s="657"/>
      <c r="R41" s="657"/>
      <c r="S41" s="657"/>
      <c r="T41" s="657"/>
      <c r="U41" s="657"/>
      <c r="V41" s="657"/>
      <c r="W41" s="657"/>
      <c r="X41" s="657"/>
      <c r="Y41" s="657"/>
      <c r="Z41" s="657"/>
      <c r="AA41" s="657"/>
      <c r="AB41" s="657"/>
      <c r="AC41" s="657"/>
      <c r="AD41" s="657"/>
      <c r="AE41" s="657"/>
      <c r="AF41" s="657"/>
      <c r="AG41" s="657"/>
      <c r="AH41" s="657"/>
      <c r="AI41" s="657"/>
      <c r="AJ41" s="657"/>
      <c r="AK41" s="657"/>
      <c r="AL41" s="657"/>
      <c r="AM41" s="657"/>
    </row>
    <row r="42" spans="1:39">
      <c r="A42" s="657"/>
      <c r="B42" s="657"/>
      <c r="C42" s="657"/>
      <c r="D42" s="657"/>
      <c r="E42" s="657"/>
      <c r="F42" s="657"/>
      <c r="G42" s="657"/>
      <c r="H42" s="657"/>
      <c r="I42" s="657"/>
      <c r="J42" s="657"/>
      <c r="K42" s="657"/>
      <c r="L42" s="657"/>
      <c r="M42" s="657"/>
      <c r="N42" s="657"/>
      <c r="O42" s="657"/>
      <c r="P42" s="657"/>
      <c r="Q42" s="657"/>
      <c r="R42" s="657"/>
      <c r="S42" s="657"/>
      <c r="T42" s="657"/>
      <c r="U42" s="657"/>
      <c r="V42" s="657"/>
      <c r="W42" s="657"/>
      <c r="X42" s="657"/>
      <c r="Y42" s="657"/>
      <c r="Z42" s="657"/>
      <c r="AA42" s="657"/>
      <c r="AB42" s="657"/>
      <c r="AC42" s="657"/>
      <c r="AD42" s="657"/>
      <c r="AE42" s="657"/>
      <c r="AF42" s="657"/>
      <c r="AG42" s="657"/>
      <c r="AH42" s="657"/>
      <c r="AI42" s="657"/>
      <c r="AJ42" s="657"/>
      <c r="AK42" s="657"/>
      <c r="AL42" s="657"/>
      <c r="AM42" s="657"/>
    </row>
    <row r="43" spans="1:39">
      <c r="A43" s="657"/>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57"/>
      <c r="AJ43" s="657"/>
      <c r="AK43" s="657"/>
      <c r="AL43" s="657"/>
      <c r="AM43" s="657"/>
    </row>
    <row r="44" spans="1:39">
      <c r="A44" s="657"/>
      <c r="B44" s="657"/>
      <c r="C44" s="657"/>
      <c r="D44" s="657"/>
      <c r="E44" s="657"/>
      <c r="F44" s="657"/>
      <c r="G44" s="657"/>
      <c r="H44" s="657"/>
      <c r="I44" s="657"/>
      <c r="J44" s="657"/>
      <c r="K44" s="657"/>
      <c r="L44" s="657"/>
      <c r="M44" s="657"/>
      <c r="N44" s="657"/>
      <c r="O44" s="657"/>
      <c r="P44" s="657"/>
      <c r="Q44" s="657"/>
      <c r="R44" s="657"/>
      <c r="S44" s="657"/>
      <c r="T44" s="657"/>
      <c r="U44" s="657"/>
      <c r="V44" s="657"/>
      <c r="W44" s="657"/>
      <c r="X44" s="657"/>
      <c r="Y44" s="657"/>
      <c r="Z44" s="657"/>
      <c r="AA44" s="657"/>
      <c r="AB44" s="657"/>
      <c r="AC44" s="657"/>
      <c r="AD44" s="657"/>
      <c r="AE44" s="657"/>
      <c r="AF44" s="657"/>
      <c r="AG44" s="657"/>
      <c r="AH44" s="657"/>
      <c r="AI44" s="657"/>
      <c r="AJ44" s="657"/>
      <c r="AK44" s="657"/>
      <c r="AL44" s="657"/>
      <c r="AM44" s="657"/>
    </row>
    <row r="45" spans="1:39">
      <c r="A45" s="657"/>
      <c r="B45" s="657"/>
      <c r="C45" s="657"/>
      <c r="D45" s="657"/>
      <c r="E45" s="657"/>
      <c r="F45" s="657"/>
      <c r="G45" s="657"/>
      <c r="H45" s="657"/>
      <c r="I45" s="657"/>
      <c r="J45" s="657"/>
      <c r="K45" s="657"/>
      <c r="L45" s="657"/>
      <c r="M45" s="657"/>
      <c r="N45" s="657"/>
      <c r="O45" s="657"/>
      <c r="P45" s="657"/>
      <c r="Q45" s="657"/>
      <c r="R45" s="657"/>
      <c r="S45" s="657"/>
      <c r="T45" s="657"/>
      <c r="U45" s="657"/>
      <c r="V45" s="657"/>
      <c r="W45" s="657"/>
      <c r="X45" s="657"/>
      <c r="Y45" s="657"/>
      <c r="Z45" s="657"/>
      <c r="AA45" s="657"/>
      <c r="AB45" s="657"/>
      <c r="AC45" s="657"/>
      <c r="AD45" s="657"/>
      <c r="AE45" s="657"/>
      <c r="AF45" s="657"/>
      <c r="AG45" s="657"/>
      <c r="AH45" s="657"/>
      <c r="AI45" s="657"/>
      <c r="AJ45" s="657"/>
      <c r="AK45" s="657"/>
      <c r="AL45" s="657"/>
      <c r="AM45" s="657"/>
    </row>
    <row r="46" spans="1:39">
      <c r="A46" s="657"/>
      <c r="B46" s="657"/>
      <c r="C46" s="657"/>
      <c r="D46" s="657"/>
      <c r="E46" s="657"/>
      <c r="F46" s="657"/>
      <c r="G46" s="657"/>
      <c r="H46" s="657"/>
      <c r="I46" s="657"/>
      <c r="J46" s="657"/>
      <c r="K46" s="657"/>
      <c r="L46" s="657"/>
      <c r="M46" s="657"/>
      <c r="N46" s="657"/>
      <c r="O46" s="657"/>
      <c r="P46" s="657"/>
      <c r="Q46" s="657"/>
      <c r="R46" s="657"/>
      <c r="S46" s="657"/>
      <c r="T46" s="657"/>
      <c r="U46" s="657"/>
      <c r="V46" s="657"/>
      <c r="W46" s="657"/>
      <c r="X46" s="657"/>
      <c r="Y46" s="657"/>
      <c r="Z46" s="657"/>
      <c r="AA46" s="657"/>
      <c r="AB46" s="657"/>
      <c r="AC46" s="657"/>
      <c r="AD46" s="657"/>
      <c r="AE46" s="657"/>
      <c r="AF46" s="657"/>
      <c r="AG46" s="657"/>
      <c r="AH46" s="657"/>
      <c r="AI46" s="657"/>
      <c r="AJ46" s="657"/>
      <c r="AK46" s="657"/>
      <c r="AL46" s="657"/>
      <c r="AM46" s="657"/>
    </row>
    <row r="47" spans="1:39">
      <c r="A47" s="657"/>
      <c r="B47" s="657"/>
      <c r="C47" s="657"/>
      <c r="D47" s="657"/>
      <c r="E47" s="657"/>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c r="AF47" s="657"/>
      <c r="AG47" s="657"/>
      <c r="AH47" s="657"/>
      <c r="AI47" s="657"/>
      <c r="AJ47" s="657"/>
      <c r="AK47" s="657"/>
      <c r="AL47" s="657"/>
      <c r="AM47" s="657"/>
    </row>
    <row r="48" spans="1:39">
      <c r="A48" s="657"/>
      <c r="B48" s="657"/>
      <c r="C48" s="657"/>
      <c r="D48" s="657"/>
      <c r="E48" s="657"/>
      <c r="F48" s="657"/>
      <c r="G48" s="657"/>
      <c r="H48" s="657"/>
      <c r="I48" s="657"/>
      <c r="J48" s="657"/>
      <c r="K48" s="657"/>
      <c r="L48" s="657"/>
      <c r="M48" s="657"/>
      <c r="N48" s="657"/>
      <c r="O48" s="657"/>
      <c r="P48" s="657"/>
      <c r="Q48" s="657"/>
      <c r="R48" s="657"/>
      <c r="S48" s="657"/>
      <c r="T48" s="657"/>
      <c r="U48" s="657"/>
      <c r="V48" s="657"/>
      <c r="W48" s="657"/>
      <c r="X48" s="657"/>
      <c r="Y48" s="657"/>
      <c r="Z48" s="657"/>
      <c r="AA48" s="657"/>
      <c r="AB48" s="657"/>
      <c r="AC48" s="657"/>
      <c r="AD48" s="657"/>
      <c r="AE48" s="657"/>
      <c r="AF48" s="657"/>
      <c r="AG48" s="657"/>
      <c r="AH48" s="657"/>
      <c r="AI48" s="657"/>
      <c r="AJ48" s="657"/>
      <c r="AK48" s="657"/>
      <c r="AL48" s="657"/>
      <c r="AM48" s="657"/>
    </row>
    <row r="49" spans="1:39">
      <c r="A49" s="657"/>
      <c r="B49" s="657"/>
      <c r="C49" s="657"/>
      <c r="D49" s="657"/>
      <c r="E49" s="657"/>
      <c r="F49" s="657"/>
      <c r="G49" s="657"/>
      <c r="H49" s="657"/>
      <c r="I49" s="657"/>
      <c r="J49" s="657"/>
      <c r="K49" s="657"/>
      <c r="L49" s="657"/>
      <c r="M49" s="657"/>
      <c r="N49" s="657"/>
      <c r="O49" s="657"/>
      <c r="P49" s="657"/>
      <c r="Q49" s="657"/>
      <c r="R49" s="657"/>
      <c r="S49" s="657"/>
      <c r="T49" s="657"/>
      <c r="U49" s="657"/>
      <c r="V49" s="657"/>
      <c r="W49" s="657"/>
      <c r="X49" s="657"/>
      <c r="Y49" s="657"/>
      <c r="Z49" s="657"/>
      <c r="AA49" s="657"/>
      <c r="AB49" s="657"/>
      <c r="AC49" s="657"/>
      <c r="AD49" s="657"/>
      <c r="AE49" s="657"/>
      <c r="AF49" s="657"/>
      <c r="AG49" s="657"/>
      <c r="AH49" s="657"/>
      <c r="AI49" s="657"/>
      <c r="AJ49" s="657"/>
      <c r="AK49" s="657"/>
      <c r="AL49" s="657"/>
      <c r="AM49" s="657"/>
    </row>
    <row r="50" spans="1:39">
      <c r="A50" s="657"/>
      <c r="B50" s="657"/>
      <c r="C50" s="657"/>
      <c r="D50" s="657"/>
      <c r="E50" s="657"/>
      <c r="F50" s="657"/>
      <c r="G50" s="657"/>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row>
    <row r="51" spans="1:39">
      <c r="A51" s="657"/>
      <c r="B51" s="657"/>
      <c r="C51" s="657"/>
      <c r="D51" s="657"/>
      <c r="E51" s="657"/>
      <c r="F51" s="657"/>
      <c r="G51" s="657"/>
      <c r="H51" s="657"/>
      <c r="I51" s="657"/>
      <c r="J51" s="657"/>
      <c r="K51" s="657"/>
      <c r="L51" s="657"/>
      <c r="M51" s="657"/>
      <c r="N51" s="657"/>
      <c r="O51" s="657"/>
      <c r="P51" s="657"/>
      <c r="Q51" s="657"/>
      <c r="R51" s="657"/>
      <c r="S51" s="657"/>
      <c r="T51" s="657"/>
      <c r="U51" s="657"/>
      <c r="V51" s="657"/>
      <c r="W51" s="657"/>
      <c r="X51" s="657"/>
      <c r="Y51" s="657"/>
      <c r="Z51" s="657"/>
      <c r="AA51" s="657"/>
      <c r="AB51" s="657"/>
      <c r="AC51" s="657"/>
      <c r="AD51" s="657"/>
      <c r="AE51" s="657"/>
      <c r="AF51" s="657"/>
      <c r="AG51" s="657"/>
      <c r="AH51" s="657"/>
      <c r="AI51" s="657"/>
      <c r="AJ51" s="657"/>
      <c r="AK51" s="657"/>
      <c r="AL51" s="657"/>
      <c r="AM51" s="657"/>
    </row>
    <row r="52" spans="1:39">
      <c r="A52" s="657"/>
      <c r="B52" s="657"/>
      <c r="C52" s="657"/>
      <c r="D52" s="657"/>
      <c r="E52" s="657"/>
      <c r="F52" s="657"/>
      <c r="G52" s="657"/>
      <c r="H52" s="657"/>
      <c r="I52" s="657"/>
      <c r="J52" s="657"/>
      <c r="K52" s="657"/>
      <c r="L52" s="657"/>
      <c r="M52" s="657"/>
      <c r="N52" s="657"/>
      <c r="O52" s="657"/>
      <c r="P52" s="657"/>
      <c r="Q52" s="657"/>
      <c r="R52" s="657"/>
      <c r="S52" s="657"/>
      <c r="T52" s="657"/>
      <c r="U52" s="657"/>
      <c r="V52" s="657"/>
      <c r="W52" s="657"/>
      <c r="X52" s="657"/>
      <c r="Y52" s="657"/>
      <c r="Z52" s="657"/>
      <c r="AA52" s="657"/>
      <c r="AB52" s="657"/>
      <c r="AC52" s="657"/>
      <c r="AD52" s="657"/>
      <c r="AE52" s="657"/>
      <c r="AF52" s="657"/>
      <c r="AG52" s="657"/>
      <c r="AH52" s="657"/>
      <c r="AI52" s="657"/>
      <c r="AJ52" s="657"/>
      <c r="AK52" s="657"/>
      <c r="AL52" s="657"/>
      <c r="AM52" s="657"/>
    </row>
    <row r="53" spans="1:39">
      <c r="A53" s="657"/>
      <c r="B53" s="657"/>
      <c r="C53" s="657"/>
      <c r="D53" s="657"/>
      <c r="E53" s="657"/>
      <c r="F53" s="657"/>
      <c r="G53" s="657"/>
      <c r="H53" s="657"/>
      <c r="I53" s="657"/>
      <c r="J53" s="657"/>
      <c r="K53" s="657"/>
      <c r="L53" s="657"/>
      <c r="M53" s="657"/>
      <c r="N53" s="657"/>
      <c r="O53" s="657"/>
      <c r="P53" s="657"/>
      <c r="Q53" s="657"/>
      <c r="R53" s="657"/>
      <c r="S53" s="657"/>
      <c r="T53" s="657"/>
      <c r="U53" s="657"/>
      <c r="V53" s="657"/>
      <c r="W53" s="657"/>
      <c r="X53" s="657"/>
      <c r="Y53" s="657"/>
      <c r="Z53" s="657"/>
      <c r="AA53" s="657"/>
      <c r="AB53" s="657"/>
      <c r="AC53" s="657"/>
      <c r="AD53" s="657"/>
      <c r="AE53" s="657"/>
      <c r="AF53" s="657"/>
      <c r="AG53" s="657"/>
      <c r="AH53" s="657"/>
      <c r="AI53" s="657"/>
      <c r="AJ53" s="657"/>
      <c r="AK53" s="657"/>
      <c r="AL53" s="657"/>
      <c r="AM53" s="657"/>
    </row>
    <row r="54" spans="1:39">
      <c r="A54" s="657"/>
      <c r="B54" s="657"/>
      <c r="C54" s="657"/>
      <c r="D54" s="657"/>
      <c r="E54" s="657"/>
      <c r="F54" s="657"/>
      <c r="G54" s="657"/>
      <c r="H54" s="657"/>
      <c r="I54" s="657"/>
      <c r="J54" s="657"/>
      <c r="K54" s="657"/>
      <c r="L54" s="657"/>
      <c r="M54" s="657"/>
      <c r="N54" s="657"/>
      <c r="O54" s="657"/>
      <c r="P54" s="657"/>
      <c r="Q54" s="657"/>
      <c r="R54" s="657"/>
      <c r="S54" s="657"/>
      <c r="T54" s="657"/>
      <c r="U54" s="657"/>
      <c r="V54" s="657"/>
      <c r="W54" s="657"/>
      <c r="X54" s="657"/>
      <c r="Y54" s="657"/>
      <c r="Z54" s="657"/>
      <c r="AA54" s="657"/>
      <c r="AB54" s="657"/>
      <c r="AC54" s="657"/>
      <c r="AD54" s="657"/>
      <c r="AE54" s="657"/>
      <c r="AF54" s="657"/>
      <c r="AG54" s="657"/>
      <c r="AH54" s="657"/>
      <c r="AI54" s="657"/>
      <c r="AJ54" s="657"/>
      <c r="AK54" s="657"/>
      <c r="AL54" s="657"/>
      <c r="AM54" s="657"/>
    </row>
    <row r="55" spans="1:39">
      <c r="A55" s="657"/>
      <c r="B55" s="657"/>
      <c r="C55" s="657"/>
      <c r="D55" s="657"/>
      <c r="E55" s="657"/>
      <c r="F55" s="657"/>
      <c r="G55" s="657"/>
      <c r="H55" s="657"/>
      <c r="I55" s="657"/>
      <c r="J55" s="657"/>
      <c r="K55" s="657"/>
      <c r="L55" s="657"/>
      <c r="M55" s="657"/>
      <c r="N55" s="657"/>
      <c r="O55" s="657"/>
      <c r="P55" s="657"/>
      <c r="Q55" s="657"/>
      <c r="R55" s="657"/>
      <c r="S55" s="657"/>
      <c r="T55" s="657"/>
      <c r="U55" s="657"/>
      <c r="V55" s="657"/>
      <c r="W55" s="657"/>
      <c r="X55" s="657"/>
      <c r="Y55" s="657"/>
      <c r="Z55" s="657"/>
      <c r="AA55" s="657"/>
      <c r="AB55" s="657"/>
      <c r="AC55" s="657"/>
      <c r="AD55" s="657"/>
      <c r="AE55" s="657"/>
      <c r="AF55" s="657"/>
      <c r="AG55" s="657"/>
      <c r="AH55" s="657"/>
      <c r="AI55" s="657"/>
      <c r="AJ55" s="657"/>
      <c r="AK55" s="657"/>
      <c r="AL55" s="657"/>
      <c r="AM55" s="657"/>
    </row>
    <row r="56" spans="1:39">
      <c r="A56" s="657"/>
      <c r="B56" s="657"/>
      <c r="C56" s="657"/>
      <c r="D56" s="657"/>
      <c r="E56" s="657"/>
      <c r="F56" s="657"/>
      <c r="G56" s="657"/>
      <c r="H56" s="657"/>
      <c r="I56" s="657"/>
      <c r="J56" s="657"/>
      <c r="K56" s="657"/>
      <c r="L56" s="657"/>
      <c r="M56" s="657"/>
      <c r="N56" s="657"/>
      <c r="O56" s="657"/>
      <c r="P56" s="657"/>
      <c r="Q56" s="657"/>
      <c r="R56" s="657"/>
      <c r="S56" s="657"/>
      <c r="T56" s="657"/>
      <c r="U56" s="657"/>
      <c r="V56" s="657"/>
      <c r="W56" s="657"/>
      <c r="X56" s="657"/>
      <c r="Y56" s="657"/>
      <c r="Z56" s="657"/>
      <c r="AA56" s="657"/>
      <c r="AB56" s="657"/>
      <c r="AC56" s="657"/>
      <c r="AD56" s="657"/>
      <c r="AE56" s="657"/>
      <c r="AF56" s="657"/>
      <c r="AG56" s="657"/>
      <c r="AH56" s="657"/>
      <c r="AI56" s="657"/>
      <c r="AJ56" s="657"/>
      <c r="AK56" s="657"/>
      <c r="AL56" s="657"/>
      <c r="AM56" s="657"/>
    </row>
    <row r="57" spans="1:39">
      <c r="A57" s="657"/>
      <c r="B57" s="657"/>
      <c r="C57" s="657"/>
      <c r="D57" s="657"/>
      <c r="E57" s="657"/>
      <c r="F57" s="657"/>
      <c r="G57" s="657"/>
      <c r="H57" s="657"/>
      <c r="I57" s="657"/>
      <c r="J57" s="657"/>
      <c r="K57" s="657"/>
      <c r="L57" s="657"/>
      <c r="M57" s="657"/>
      <c r="N57" s="657"/>
      <c r="O57" s="657"/>
      <c r="P57" s="657"/>
      <c r="Q57" s="657"/>
      <c r="R57" s="657"/>
      <c r="S57" s="657"/>
      <c r="T57" s="657"/>
      <c r="U57" s="657"/>
      <c r="V57" s="657"/>
      <c r="W57" s="657"/>
      <c r="X57" s="657"/>
      <c r="Y57" s="657"/>
      <c r="Z57" s="657"/>
      <c r="AA57" s="657"/>
      <c r="AB57" s="657"/>
      <c r="AC57" s="657"/>
      <c r="AD57" s="657"/>
      <c r="AE57" s="657"/>
      <c r="AF57" s="657"/>
      <c r="AG57" s="657"/>
      <c r="AH57" s="657"/>
      <c r="AI57" s="657"/>
      <c r="AJ57" s="657"/>
      <c r="AK57" s="657"/>
      <c r="AL57" s="657"/>
      <c r="AM57" s="657"/>
    </row>
    <row r="58" spans="1:39">
      <c r="A58" s="657"/>
      <c r="B58" s="657"/>
      <c r="C58" s="657"/>
      <c r="D58" s="657"/>
      <c r="E58" s="657"/>
      <c r="F58" s="657"/>
      <c r="G58" s="657"/>
      <c r="H58" s="657"/>
      <c r="I58" s="657"/>
      <c r="J58" s="657"/>
      <c r="K58" s="657"/>
      <c r="L58" s="657"/>
      <c r="M58" s="657"/>
      <c r="N58" s="657"/>
      <c r="O58" s="657"/>
      <c r="P58" s="657"/>
      <c r="Q58" s="657"/>
      <c r="R58" s="657"/>
      <c r="S58" s="657"/>
      <c r="T58" s="657"/>
      <c r="U58" s="657"/>
      <c r="V58" s="657"/>
      <c r="W58" s="657"/>
      <c r="X58" s="657"/>
      <c r="Y58" s="657"/>
      <c r="Z58" s="657"/>
      <c r="AA58" s="657"/>
      <c r="AB58" s="657"/>
      <c r="AC58" s="657"/>
      <c r="AD58" s="657"/>
      <c r="AE58" s="657"/>
      <c r="AF58" s="657"/>
      <c r="AG58" s="657"/>
      <c r="AH58" s="657"/>
      <c r="AI58" s="657"/>
      <c r="AJ58" s="657"/>
      <c r="AK58" s="657"/>
      <c r="AL58" s="657"/>
      <c r="AM58" s="657"/>
    </row>
    <row r="59" spans="1:39">
      <c r="A59" s="657"/>
      <c r="B59" s="657"/>
      <c r="C59" s="657"/>
      <c r="D59" s="657"/>
      <c r="E59" s="657"/>
      <c r="F59" s="657"/>
      <c r="G59" s="657"/>
      <c r="H59" s="657"/>
      <c r="I59" s="657"/>
      <c r="J59" s="657"/>
      <c r="K59" s="657"/>
      <c r="L59" s="657"/>
      <c r="M59" s="657"/>
      <c r="N59" s="657"/>
      <c r="O59" s="657"/>
      <c r="P59" s="657"/>
      <c r="Q59" s="657"/>
      <c r="R59" s="657"/>
      <c r="S59" s="657"/>
      <c r="T59" s="657"/>
      <c r="U59" s="657"/>
      <c r="V59" s="657"/>
      <c r="W59" s="657"/>
      <c r="X59" s="657"/>
      <c r="Y59" s="657"/>
      <c r="Z59" s="657"/>
      <c r="AA59" s="657"/>
      <c r="AB59" s="657"/>
      <c r="AC59" s="657"/>
      <c r="AD59" s="657"/>
      <c r="AE59" s="657"/>
      <c r="AF59" s="657"/>
      <c r="AG59" s="657"/>
      <c r="AH59" s="657"/>
      <c r="AI59" s="657"/>
      <c r="AJ59" s="657"/>
      <c r="AK59" s="657"/>
      <c r="AL59" s="657"/>
      <c r="AM59" s="657"/>
    </row>
    <row r="60" spans="1:39">
      <c r="A60" s="657"/>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57"/>
      <c r="AG60" s="657"/>
      <c r="AH60" s="657"/>
      <c r="AI60" s="657"/>
      <c r="AJ60" s="657"/>
      <c r="AK60" s="657"/>
      <c r="AL60" s="657"/>
      <c r="AM60" s="657"/>
    </row>
    <row r="61" spans="1:39">
      <c r="A61" s="657"/>
      <c r="B61" s="657"/>
      <c r="C61" s="657"/>
      <c r="D61" s="657"/>
      <c r="E61" s="657"/>
      <c r="F61" s="657"/>
      <c r="G61" s="657"/>
      <c r="H61" s="657"/>
      <c r="I61" s="657"/>
      <c r="J61" s="657"/>
      <c r="K61" s="657"/>
      <c r="L61" s="657"/>
      <c r="M61" s="657"/>
      <c r="N61" s="657"/>
      <c r="O61" s="657"/>
      <c r="P61" s="657"/>
      <c r="Q61" s="657"/>
      <c r="R61" s="657"/>
      <c r="S61" s="657"/>
      <c r="T61" s="657"/>
      <c r="U61" s="657"/>
      <c r="V61" s="657"/>
      <c r="W61" s="657"/>
      <c r="X61" s="657"/>
      <c r="Y61" s="657"/>
      <c r="Z61" s="657"/>
      <c r="AA61" s="657"/>
      <c r="AB61" s="657"/>
      <c r="AC61" s="657"/>
      <c r="AD61" s="657"/>
      <c r="AE61" s="657"/>
      <c r="AF61" s="657"/>
      <c r="AG61" s="657"/>
      <c r="AH61" s="657"/>
      <c r="AI61" s="657"/>
      <c r="AJ61" s="657"/>
      <c r="AK61" s="657"/>
      <c r="AL61" s="657"/>
      <c r="AM61" s="657"/>
    </row>
    <row r="62" spans="1:39">
      <c r="A62" s="657"/>
      <c r="B62" s="657"/>
      <c r="C62" s="657"/>
      <c r="D62" s="657"/>
      <c r="E62" s="657"/>
      <c r="F62" s="657"/>
      <c r="G62" s="657"/>
      <c r="H62" s="657"/>
      <c r="I62" s="657"/>
      <c r="J62" s="657"/>
      <c r="K62" s="657"/>
      <c r="L62" s="657"/>
      <c r="M62" s="657"/>
      <c r="N62" s="657"/>
      <c r="O62" s="657"/>
      <c r="P62" s="657"/>
      <c r="Q62" s="657"/>
      <c r="R62" s="657"/>
      <c r="S62" s="657"/>
      <c r="T62" s="657"/>
      <c r="U62" s="657"/>
      <c r="V62" s="657"/>
      <c r="W62" s="657"/>
      <c r="X62" s="657"/>
      <c r="Y62" s="657"/>
      <c r="Z62" s="657"/>
      <c r="AA62" s="657"/>
      <c r="AB62" s="657"/>
      <c r="AC62" s="657"/>
      <c r="AD62" s="657"/>
      <c r="AE62" s="657"/>
      <c r="AF62" s="657"/>
      <c r="AG62" s="657"/>
      <c r="AH62" s="657"/>
      <c r="AI62" s="657"/>
      <c r="AJ62" s="657"/>
      <c r="AK62" s="657"/>
      <c r="AL62" s="657"/>
      <c r="AM62" s="657"/>
    </row>
    <row r="63" spans="1:39">
      <c r="A63" s="657"/>
      <c r="B63" s="657"/>
      <c r="C63" s="657"/>
      <c r="D63" s="657"/>
      <c r="E63" s="657"/>
      <c r="F63" s="657"/>
      <c r="G63" s="657"/>
      <c r="H63" s="657"/>
      <c r="I63" s="657"/>
      <c r="J63" s="657"/>
      <c r="K63" s="657"/>
      <c r="L63" s="657"/>
      <c r="M63" s="657"/>
      <c r="N63" s="657"/>
      <c r="O63" s="657"/>
      <c r="P63" s="657"/>
      <c r="Q63" s="657"/>
      <c r="R63" s="657"/>
      <c r="S63" s="657"/>
      <c r="T63" s="657"/>
      <c r="U63" s="657"/>
      <c r="V63" s="657"/>
      <c r="W63" s="657"/>
      <c r="X63" s="657"/>
      <c r="Y63" s="657"/>
      <c r="Z63" s="657"/>
      <c r="AA63" s="657"/>
      <c r="AB63" s="657"/>
      <c r="AC63" s="657"/>
      <c r="AD63" s="657"/>
      <c r="AE63" s="657"/>
      <c r="AF63" s="657"/>
      <c r="AG63" s="657"/>
      <c r="AH63" s="657"/>
      <c r="AI63" s="657"/>
      <c r="AJ63" s="657"/>
      <c r="AK63" s="657"/>
      <c r="AL63" s="657"/>
      <c r="AM63" s="657"/>
    </row>
    <row r="64" spans="1:39">
      <c r="A64" s="657"/>
      <c r="B64" s="657"/>
      <c r="C64" s="657"/>
      <c r="D64" s="657"/>
      <c r="E64" s="657"/>
      <c r="F64" s="657"/>
      <c r="G64" s="657"/>
      <c r="H64" s="657"/>
      <c r="I64" s="657"/>
      <c r="J64" s="657"/>
      <c r="K64" s="657"/>
      <c r="L64" s="657"/>
      <c r="M64" s="657"/>
      <c r="N64" s="657"/>
      <c r="O64" s="657"/>
      <c r="P64" s="657"/>
      <c r="Q64" s="657"/>
      <c r="R64" s="657"/>
      <c r="S64" s="657"/>
      <c r="T64" s="657"/>
      <c r="U64" s="657"/>
      <c r="V64" s="657"/>
      <c r="W64" s="657"/>
      <c r="X64" s="657"/>
      <c r="Y64" s="657"/>
      <c r="Z64" s="657"/>
      <c r="AA64" s="657"/>
      <c r="AB64" s="657"/>
      <c r="AC64" s="657"/>
      <c r="AD64" s="657"/>
      <c r="AE64" s="657"/>
      <c r="AF64" s="657"/>
      <c r="AG64" s="657"/>
      <c r="AH64" s="657"/>
      <c r="AI64" s="657"/>
      <c r="AJ64" s="657"/>
      <c r="AK64" s="657"/>
      <c r="AL64" s="657"/>
      <c r="AM64" s="657"/>
    </row>
    <row r="65" spans="1:39">
      <c r="A65" s="657"/>
      <c r="B65" s="657"/>
      <c r="C65" s="657"/>
      <c r="D65" s="657"/>
      <c r="E65" s="657"/>
      <c r="F65" s="657"/>
      <c r="G65" s="657"/>
      <c r="H65" s="657"/>
      <c r="I65" s="657"/>
      <c r="J65" s="657"/>
      <c r="K65" s="657"/>
      <c r="L65" s="657"/>
      <c r="M65" s="657"/>
      <c r="N65" s="657"/>
      <c r="O65" s="657"/>
      <c r="P65" s="657"/>
      <c r="Q65" s="657"/>
      <c r="R65" s="657"/>
      <c r="S65" s="657"/>
      <c r="T65" s="657"/>
      <c r="U65" s="657"/>
      <c r="V65" s="657"/>
      <c r="W65" s="657"/>
      <c r="X65" s="657"/>
      <c r="Y65" s="657"/>
      <c r="Z65" s="657"/>
      <c r="AA65" s="657"/>
      <c r="AB65" s="657"/>
      <c r="AC65" s="657"/>
      <c r="AD65" s="657"/>
      <c r="AE65" s="657"/>
      <c r="AF65" s="657"/>
      <c r="AG65" s="657"/>
      <c r="AH65" s="657"/>
      <c r="AI65" s="657"/>
      <c r="AJ65" s="657"/>
      <c r="AK65" s="657"/>
      <c r="AL65" s="657"/>
      <c r="AM65" s="657"/>
    </row>
    <row r="66" spans="1:39">
      <c r="A66" s="657"/>
      <c r="B66" s="657"/>
      <c r="C66" s="657"/>
      <c r="D66" s="657"/>
      <c r="E66" s="657"/>
      <c r="F66" s="657"/>
      <c r="G66" s="657"/>
      <c r="H66" s="657"/>
      <c r="I66" s="657"/>
      <c r="J66" s="657"/>
      <c r="K66" s="657"/>
      <c r="L66" s="657"/>
      <c r="M66" s="657"/>
      <c r="N66" s="657"/>
      <c r="O66" s="657"/>
      <c r="P66" s="657"/>
      <c r="Q66" s="657"/>
      <c r="R66" s="657"/>
      <c r="S66" s="657"/>
      <c r="T66" s="657"/>
      <c r="U66" s="657"/>
      <c r="V66" s="657"/>
      <c r="W66" s="657"/>
      <c r="X66" s="657"/>
      <c r="Y66" s="657"/>
      <c r="Z66" s="657"/>
      <c r="AA66" s="657"/>
      <c r="AB66" s="657"/>
      <c r="AC66" s="657"/>
      <c r="AD66" s="657"/>
      <c r="AE66" s="657"/>
      <c r="AF66" s="657"/>
      <c r="AG66" s="657"/>
      <c r="AH66" s="657"/>
      <c r="AI66" s="657"/>
      <c r="AJ66" s="657"/>
      <c r="AK66" s="657"/>
      <c r="AL66" s="657"/>
      <c r="AM66" s="657"/>
    </row>
    <row r="67" spans="1:39">
      <c r="A67" s="657"/>
      <c r="B67" s="657"/>
      <c r="C67" s="657"/>
      <c r="D67" s="657"/>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row>
    <row r="68" spans="1:39">
      <c r="A68" s="657"/>
      <c r="B68" s="657"/>
      <c r="C68" s="657"/>
      <c r="D68" s="657"/>
      <c r="E68" s="657"/>
      <c r="F68" s="657"/>
      <c r="G68" s="657"/>
      <c r="H68" s="657"/>
      <c r="I68" s="657"/>
      <c r="J68" s="657"/>
      <c r="K68" s="657"/>
      <c r="L68" s="657"/>
      <c r="M68" s="657"/>
      <c r="N68" s="657"/>
      <c r="O68" s="657"/>
      <c r="P68" s="657"/>
      <c r="Q68" s="657"/>
      <c r="R68" s="657"/>
      <c r="S68" s="657"/>
      <c r="T68" s="657"/>
      <c r="U68" s="657"/>
      <c r="V68" s="657"/>
      <c r="W68" s="657"/>
      <c r="X68" s="657"/>
      <c r="Y68" s="657"/>
      <c r="Z68" s="657"/>
      <c r="AA68" s="657"/>
      <c r="AB68" s="657"/>
      <c r="AC68" s="657"/>
      <c r="AD68" s="657"/>
      <c r="AE68" s="657"/>
      <c r="AF68" s="657"/>
      <c r="AG68" s="657"/>
      <c r="AH68" s="657"/>
      <c r="AI68" s="657"/>
      <c r="AJ68" s="657"/>
      <c r="AK68" s="657"/>
      <c r="AL68" s="657"/>
      <c r="AM68" s="657"/>
    </row>
    <row r="69" spans="1:39">
      <c r="A69" s="657"/>
      <c r="B69" s="657"/>
      <c r="C69" s="657"/>
      <c r="D69" s="657"/>
      <c r="E69" s="657"/>
      <c r="F69" s="657"/>
      <c r="G69" s="657"/>
      <c r="H69" s="657"/>
      <c r="I69" s="657"/>
      <c r="J69" s="657"/>
      <c r="K69" s="657"/>
      <c r="L69" s="657"/>
      <c r="M69" s="657"/>
      <c r="N69" s="657"/>
      <c r="O69" s="657"/>
      <c r="P69" s="657"/>
      <c r="Q69" s="657"/>
      <c r="R69" s="657"/>
      <c r="S69" s="657"/>
      <c r="T69" s="657"/>
      <c r="U69" s="657"/>
      <c r="V69" s="657"/>
      <c r="W69" s="657"/>
      <c r="X69" s="657"/>
      <c r="Y69" s="657"/>
      <c r="Z69" s="657"/>
      <c r="AA69" s="657"/>
      <c r="AB69" s="657"/>
      <c r="AC69" s="657"/>
      <c r="AD69" s="657"/>
      <c r="AE69" s="657"/>
      <c r="AF69" s="657"/>
      <c r="AG69" s="657"/>
      <c r="AH69" s="657"/>
      <c r="AI69" s="657"/>
      <c r="AJ69" s="657"/>
      <c r="AK69" s="657"/>
      <c r="AL69" s="657"/>
      <c r="AM69" s="657"/>
    </row>
    <row r="70" spans="1:39">
      <c r="A70" s="657"/>
      <c r="B70" s="657"/>
      <c r="C70" s="657"/>
      <c r="D70" s="657"/>
      <c r="E70" s="657"/>
      <c r="F70" s="657"/>
      <c r="G70" s="657"/>
      <c r="H70" s="657"/>
      <c r="I70" s="657"/>
      <c r="J70" s="657"/>
      <c r="K70" s="657"/>
      <c r="L70" s="657"/>
      <c r="M70" s="657"/>
      <c r="N70" s="657"/>
      <c r="O70" s="657"/>
      <c r="P70" s="657"/>
      <c r="Q70" s="657"/>
      <c r="R70" s="657"/>
      <c r="S70" s="657"/>
      <c r="T70" s="657"/>
      <c r="U70" s="657"/>
      <c r="V70" s="657"/>
      <c r="W70" s="657"/>
      <c r="X70" s="657"/>
      <c r="Y70" s="657"/>
      <c r="Z70" s="657"/>
      <c r="AA70" s="657"/>
      <c r="AB70" s="657"/>
      <c r="AC70" s="657"/>
      <c r="AD70" s="657"/>
      <c r="AE70" s="657"/>
      <c r="AF70" s="657"/>
      <c r="AG70" s="657"/>
      <c r="AH70" s="657"/>
      <c r="AI70" s="657"/>
      <c r="AJ70" s="657"/>
      <c r="AK70" s="657"/>
      <c r="AL70" s="657"/>
      <c r="AM70" s="657"/>
    </row>
    <row r="71" spans="1:39">
      <c r="A71" s="657"/>
      <c r="B71" s="657"/>
      <c r="C71" s="657"/>
      <c r="D71" s="657"/>
      <c r="E71" s="657"/>
      <c r="F71" s="657"/>
      <c r="G71" s="657"/>
      <c r="H71" s="657"/>
      <c r="I71" s="657"/>
      <c r="J71" s="657"/>
      <c r="K71" s="657"/>
      <c r="L71" s="657"/>
      <c r="M71" s="657"/>
      <c r="N71" s="657"/>
      <c r="O71" s="657"/>
      <c r="P71" s="657"/>
      <c r="Q71" s="657"/>
      <c r="R71" s="657"/>
      <c r="S71" s="657"/>
      <c r="T71" s="657"/>
      <c r="U71" s="657"/>
      <c r="V71" s="657"/>
      <c r="W71" s="657"/>
      <c r="X71" s="657"/>
      <c r="Y71" s="657"/>
      <c r="Z71" s="657"/>
      <c r="AA71" s="657"/>
      <c r="AB71" s="657"/>
      <c r="AC71" s="657"/>
      <c r="AD71" s="657"/>
      <c r="AE71" s="657"/>
      <c r="AF71" s="657"/>
      <c r="AG71" s="657"/>
      <c r="AH71" s="657"/>
      <c r="AI71" s="657"/>
      <c r="AJ71" s="657"/>
      <c r="AK71" s="657"/>
      <c r="AL71" s="657"/>
      <c r="AM71" s="657"/>
    </row>
    <row r="72" spans="1:39">
      <c r="A72" s="657"/>
      <c r="B72" s="657"/>
      <c r="C72" s="657"/>
      <c r="D72" s="657"/>
      <c r="E72" s="657"/>
      <c r="F72" s="657"/>
      <c r="G72" s="657"/>
      <c r="H72" s="657"/>
      <c r="I72" s="657"/>
      <c r="J72" s="657"/>
      <c r="K72" s="657"/>
      <c r="L72" s="657"/>
      <c r="M72" s="657"/>
      <c r="N72" s="657"/>
      <c r="O72" s="657"/>
      <c r="P72" s="657"/>
      <c r="Q72" s="657"/>
      <c r="R72" s="657"/>
      <c r="S72" s="657"/>
      <c r="T72" s="657"/>
      <c r="U72" s="657"/>
      <c r="V72" s="657"/>
      <c r="W72" s="657"/>
      <c r="X72" s="657"/>
      <c r="Y72" s="657"/>
      <c r="Z72" s="657"/>
      <c r="AA72" s="657"/>
      <c r="AB72" s="657"/>
      <c r="AC72" s="657"/>
      <c r="AD72" s="657"/>
      <c r="AE72" s="657"/>
      <c r="AF72" s="657"/>
      <c r="AG72" s="657"/>
      <c r="AH72" s="657"/>
      <c r="AI72" s="657"/>
      <c r="AJ72" s="657"/>
      <c r="AK72" s="657"/>
      <c r="AL72" s="657"/>
      <c r="AM72" s="657"/>
    </row>
    <row r="73" spans="1:39">
      <c r="A73" s="657"/>
      <c r="B73" s="657"/>
      <c r="C73" s="657"/>
      <c r="D73" s="657"/>
      <c r="E73" s="657"/>
      <c r="F73" s="657"/>
      <c r="G73" s="657"/>
      <c r="H73" s="657"/>
      <c r="I73" s="657"/>
      <c r="J73" s="657"/>
      <c r="K73" s="657"/>
      <c r="L73" s="657"/>
      <c r="M73" s="657"/>
      <c r="N73" s="657"/>
      <c r="O73" s="657"/>
      <c r="P73" s="657"/>
      <c r="Q73" s="657"/>
      <c r="R73" s="657"/>
      <c r="S73" s="657"/>
      <c r="T73" s="657"/>
      <c r="U73" s="657"/>
      <c r="V73" s="657"/>
      <c r="W73" s="657"/>
      <c r="X73" s="657"/>
      <c r="Y73" s="657"/>
      <c r="Z73" s="657"/>
      <c r="AA73" s="657"/>
      <c r="AB73" s="657"/>
      <c r="AC73" s="657"/>
      <c r="AD73" s="657"/>
      <c r="AE73" s="657"/>
      <c r="AF73" s="657"/>
      <c r="AG73" s="657"/>
      <c r="AH73" s="657"/>
      <c r="AI73" s="657"/>
      <c r="AJ73" s="657"/>
      <c r="AK73" s="657"/>
      <c r="AL73" s="657"/>
      <c r="AM73" s="657"/>
    </row>
    <row r="74" spans="1:39">
      <c r="A74" s="657"/>
      <c r="B74" s="657"/>
      <c r="C74" s="657"/>
      <c r="D74" s="657"/>
      <c r="E74" s="657"/>
      <c r="F74" s="657"/>
      <c r="G74" s="657"/>
      <c r="H74" s="657"/>
      <c r="I74" s="657"/>
      <c r="J74" s="657"/>
      <c r="K74" s="657"/>
      <c r="L74" s="657"/>
      <c r="M74" s="657"/>
      <c r="N74" s="657"/>
      <c r="O74" s="657"/>
      <c r="P74" s="657"/>
      <c r="Q74" s="657"/>
      <c r="R74" s="657"/>
      <c r="S74" s="657"/>
      <c r="T74" s="657"/>
      <c r="U74" s="657"/>
      <c r="V74" s="657"/>
      <c r="W74" s="657"/>
      <c r="X74" s="657"/>
      <c r="Y74" s="657"/>
      <c r="Z74" s="657"/>
      <c r="AA74" s="657"/>
      <c r="AB74" s="657"/>
      <c r="AC74" s="657"/>
      <c r="AD74" s="657"/>
      <c r="AE74" s="657"/>
      <c r="AF74" s="657"/>
      <c r="AG74" s="657"/>
      <c r="AH74" s="657"/>
      <c r="AI74" s="657"/>
      <c r="AJ74" s="657"/>
      <c r="AK74" s="657"/>
      <c r="AL74" s="657"/>
      <c r="AM74" s="657"/>
    </row>
    <row r="75" spans="1:39">
      <c r="A75" s="657"/>
      <c r="B75" s="657"/>
      <c r="C75" s="657"/>
      <c r="D75" s="657"/>
      <c r="E75" s="657"/>
      <c r="F75" s="657"/>
      <c r="G75" s="657"/>
      <c r="H75" s="657"/>
      <c r="I75" s="657"/>
      <c r="J75" s="657"/>
      <c r="K75" s="657"/>
      <c r="L75" s="657"/>
      <c r="M75" s="657"/>
      <c r="N75" s="657"/>
      <c r="O75" s="657"/>
      <c r="P75" s="657"/>
      <c r="Q75" s="657"/>
      <c r="R75" s="657"/>
      <c r="S75" s="657"/>
      <c r="T75" s="657"/>
      <c r="U75" s="657"/>
      <c r="V75" s="657"/>
      <c r="W75" s="657"/>
      <c r="X75" s="657"/>
      <c r="Y75" s="657"/>
      <c r="Z75" s="657"/>
      <c r="AA75" s="657"/>
      <c r="AB75" s="657"/>
      <c r="AC75" s="657"/>
      <c r="AD75" s="657"/>
      <c r="AE75" s="657"/>
      <c r="AF75" s="657"/>
      <c r="AG75" s="657"/>
      <c r="AH75" s="657"/>
      <c r="AI75" s="657"/>
      <c r="AJ75" s="657"/>
      <c r="AK75" s="657"/>
      <c r="AL75" s="657"/>
      <c r="AM75" s="657"/>
    </row>
    <row r="76" spans="1:39">
      <c r="A76" s="657"/>
      <c r="B76" s="657"/>
      <c r="C76" s="657"/>
      <c r="D76" s="657"/>
      <c r="E76" s="657"/>
      <c r="F76" s="657"/>
      <c r="G76" s="657"/>
      <c r="H76" s="657"/>
      <c r="I76" s="657"/>
      <c r="J76" s="657"/>
      <c r="K76" s="657"/>
      <c r="L76" s="657"/>
      <c r="M76" s="657"/>
      <c r="N76" s="657"/>
      <c r="O76" s="657"/>
      <c r="P76" s="657"/>
      <c r="Q76" s="657"/>
      <c r="R76" s="657"/>
      <c r="S76" s="657"/>
      <c r="T76" s="657"/>
      <c r="U76" s="657"/>
      <c r="V76" s="657"/>
      <c r="W76" s="657"/>
      <c r="X76" s="657"/>
      <c r="Y76" s="657"/>
      <c r="Z76" s="657"/>
      <c r="AA76" s="657"/>
      <c r="AB76" s="657"/>
      <c r="AC76" s="657"/>
      <c r="AD76" s="657"/>
      <c r="AE76" s="657"/>
      <c r="AF76" s="657"/>
      <c r="AG76" s="657"/>
      <c r="AH76" s="657"/>
      <c r="AI76" s="657"/>
      <c r="AJ76" s="657"/>
      <c r="AK76" s="657"/>
      <c r="AL76" s="657"/>
      <c r="AM76" s="657"/>
    </row>
    <row r="77" spans="1:39">
      <c r="A77" s="657"/>
      <c r="B77" s="657"/>
      <c r="C77" s="657"/>
      <c r="D77" s="657"/>
      <c r="E77" s="657"/>
      <c r="F77" s="657"/>
      <c r="G77" s="657"/>
      <c r="H77" s="657"/>
      <c r="I77" s="657"/>
      <c r="J77" s="657"/>
      <c r="K77" s="657"/>
      <c r="L77" s="657"/>
      <c r="M77" s="657"/>
      <c r="N77" s="657"/>
      <c r="O77" s="657"/>
      <c r="P77" s="657"/>
      <c r="Q77" s="657"/>
      <c r="R77" s="657"/>
      <c r="S77" s="657"/>
      <c r="T77" s="657"/>
      <c r="U77" s="657"/>
      <c r="V77" s="657"/>
      <c r="W77" s="657"/>
      <c r="X77" s="657"/>
      <c r="Y77" s="657"/>
      <c r="Z77" s="657"/>
      <c r="AA77" s="657"/>
      <c r="AB77" s="657"/>
      <c r="AC77" s="657"/>
      <c r="AD77" s="657"/>
      <c r="AE77" s="657"/>
      <c r="AF77" s="657"/>
      <c r="AG77" s="657"/>
      <c r="AH77" s="657"/>
      <c r="AI77" s="657"/>
      <c r="AJ77" s="657"/>
      <c r="AK77" s="657"/>
      <c r="AL77" s="657"/>
      <c r="AM77" s="657"/>
    </row>
    <row r="78" spans="1:39">
      <c r="A78" s="657"/>
      <c r="B78" s="657"/>
      <c r="C78" s="657"/>
      <c r="D78" s="657"/>
      <c r="E78" s="657"/>
      <c r="F78" s="657"/>
      <c r="G78" s="657"/>
      <c r="H78" s="657"/>
      <c r="I78" s="657"/>
      <c r="J78" s="657"/>
      <c r="K78" s="657"/>
      <c r="L78" s="657"/>
      <c r="M78" s="657"/>
      <c r="N78" s="657"/>
      <c r="O78" s="657"/>
      <c r="P78" s="657"/>
      <c r="Q78" s="657"/>
      <c r="R78" s="657"/>
      <c r="S78" s="657"/>
      <c r="T78" s="657"/>
      <c r="U78" s="657"/>
      <c r="V78" s="657"/>
      <c r="W78" s="657"/>
      <c r="X78" s="657"/>
      <c r="Y78" s="657"/>
      <c r="Z78" s="657"/>
      <c r="AA78" s="657"/>
      <c r="AB78" s="657"/>
      <c r="AC78" s="657"/>
      <c r="AD78" s="657"/>
      <c r="AE78" s="657"/>
      <c r="AF78" s="657"/>
      <c r="AG78" s="657"/>
      <c r="AH78" s="657"/>
      <c r="AI78" s="657"/>
      <c r="AJ78" s="657"/>
      <c r="AK78" s="657"/>
      <c r="AL78" s="657"/>
      <c r="AM78" s="657"/>
    </row>
    <row r="79" spans="1:39">
      <c r="A79" s="657"/>
      <c r="B79" s="657"/>
      <c r="C79" s="657"/>
      <c r="D79" s="657"/>
      <c r="E79" s="657"/>
      <c r="F79" s="657"/>
      <c r="G79" s="657"/>
      <c r="H79" s="657"/>
      <c r="I79" s="657"/>
      <c r="J79" s="657"/>
      <c r="K79" s="657"/>
      <c r="L79" s="657"/>
      <c r="M79" s="657"/>
      <c r="N79" s="657"/>
      <c r="O79" s="657"/>
      <c r="P79" s="657"/>
      <c r="Q79" s="657"/>
      <c r="R79" s="657"/>
      <c r="S79" s="657"/>
      <c r="T79" s="657"/>
      <c r="U79" s="657"/>
      <c r="V79" s="657"/>
      <c r="W79" s="657"/>
      <c r="X79" s="657"/>
      <c r="Y79" s="657"/>
      <c r="Z79" s="657"/>
      <c r="AA79" s="657"/>
      <c r="AB79" s="657"/>
      <c r="AC79" s="657"/>
      <c r="AD79" s="657"/>
      <c r="AE79" s="657"/>
      <c r="AF79" s="657"/>
      <c r="AG79" s="657"/>
      <c r="AH79" s="657"/>
      <c r="AI79" s="657"/>
      <c r="AJ79" s="657"/>
      <c r="AK79" s="657"/>
      <c r="AL79" s="657"/>
      <c r="AM79" s="657"/>
    </row>
    <row r="80" spans="1:39">
      <c r="A80" s="657"/>
      <c r="B80" s="657"/>
      <c r="C80" s="657"/>
      <c r="D80" s="657"/>
      <c r="E80" s="657"/>
      <c r="F80" s="657"/>
      <c r="G80" s="657"/>
      <c r="H80" s="657"/>
      <c r="I80" s="657"/>
      <c r="J80" s="657"/>
      <c r="K80" s="657"/>
      <c r="L80" s="657"/>
      <c r="M80" s="657"/>
      <c r="N80" s="657"/>
      <c r="O80" s="657"/>
      <c r="P80" s="657"/>
      <c r="Q80" s="657"/>
      <c r="R80" s="657"/>
      <c r="S80" s="657"/>
      <c r="T80" s="657"/>
      <c r="U80" s="657"/>
      <c r="V80" s="657"/>
      <c r="W80" s="657"/>
      <c r="X80" s="657"/>
      <c r="Y80" s="657"/>
      <c r="Z80" s="657"/>
      <c r="AA80" s="657"/>
      <c r="AB80" s="657"/>
      <c r="AC80" s="657"/>
      <c r="AD80" s="657"/>
      <c r="AE80" s="657"/>
      <c r="AF80" s="657"/>
      <c r="AG80" s="657"/>
      <c r="AH80" s="657"/>
      <c r="AI80" s="657"/>
      <c r="AJ80" s="657"/>
      <c r="AK80" s="657"/>
      <c r="AL80" s="657"/>
      <c r="AM80" s="657"/>
    </row>
    <row r="81" spans="1:39">
      <c r="A81" s="657"/>
      <c r="B81" s="657"/>
      <c r="C81" s="657"/>
      <c r="D81" s="657"/>
      <c r="E81" s="657"/>
      <c r="F81" s="657"/>
      <c r="G81" s="657"/>
      <c r="H81" s="657"/>
      <c r="I81" s="657"/>
      <c r="J81" s="657"/>
      <c r="K81" s="657"/>
      <c r="L81" s="657"/>
      <c r="M81" s="657"/>
      <c r="N81" s="657"/>
      <c r="O81" s="657"/>
      <c r="P81" s="657"/>
      <c r="Q81" s="657"/>
      <c r="R81" s="657"/>
      <c r="S81" s="657"/>
      <c r="T81" s="657"/>
      <c r="U81" s="657"/>
      <c r="V81" s="657"/>
      <c r="W81" s="657"/>
      <c r="X81" s="657"/>
      <c r="Y81" s="657"/>
      <c r="Z81" s="657"/>
      <c r="AA81" s="657"/>
      <c r="AB81" s="657"/>
      <c r="AC81" s="657"/>
      <c r="AD81" s="657"/>
      <c r="AE81" s="657"/>
      <c r="AF81" s="657"/>
      <c r="AG81" s="657"/>
      <c r="AH81" s="657"/>
      <c r="AI81" s="657"/>
      <c r="AJ81" s="657"/>
      <c r="AK81" s="657"/>
      <c r="AL81" s="657"/>
      <c r="AM81" s="657"/>
    </row>
    <row r="82" spans="1:39">
      <c r="A82" s="657"/>
      <c r="B82" s="657"/>
      <c r="C82" s="657"/>
      <c r="D82" s="657"/>
      <c r="E82" s="657"/>
      <c r="F82" s="657"/>
      <c r="G82" s="657"/>
      <c r="H82" s="657"/>
      <c r="I82" s="657"/>
      <c r="J82" s="657"/>
      <c r="K82" s="657"/>
      <c r="L82" s="657"/>
      <c r="M82" s="657"/>
      <c r="N82" s="657"/>
      <c r="O82" s="657"/>
      <c r="P82" s="657"/>
      <c r="Q82" s="657"/>
      <c r="R82" s="657"/>
      <c r="S82" s="657"/>
      <c r="T82" s="657"/>
      <c r="U82" s="657"/>
      <c r="V82" s="657"/>
      <c r="W82" s="657"/>
      <c r="X82" s="657"/>
      <c r="Y82" s="657"/>
      <c r="Z82" s="657"/>
      <c r="AA82" s="657"/>
      <c r="AB82" s="657"/>
      <c r="AC82" s="657"/>
      <c r="AD82" s="657"/>
      <c r="AE82" s="657"/>
      <c r="AF82" s="657"/>
      <c r="AG82" s="657"/>
      <c r="AH82" s="657"/>
      <c r="AI82" s="657"/>
      <c r="AJ82" s="657"/>
      <c r="AK82" s="657"/>
      <c r="AL82" s="657"/>
      <c r="AM82" s="657"/>
    </row>
    <row r="83" spans="1:39">
      <c r="A83" s="657"/>
      <c r="B83" s="657"/>
      <c r="C83" s="657"/>
      <c r="D83" s="657"/>
      <c r="E83" s="657"/>
      <c r="F83" s="657"/>
      <c r="G83" s="657"/>
      <c r="H83" s="657"/>
      <c r="I83" s="657"/>
      <c r="J83" s="657"/>
      <c r="K83" s="657"/>
      <c r="L83" s="657"/>
      <c r="M83" s="657"/>
      <c r="N83" s="657"/>
      <c r="O83" s="657"/>
      <c r="P83" s="657"/>
      <c r="Q83" s="657"/>
      <c r="R83" s="657"/>
      <c r="S83" s="657"/>
      <c r="T83" s="657"/>
      <c r="U83" s="657"/>
      <c r="V83" s="657"/>
      <c r="W83" s="657"/>
      <c r="X83" s="657"/>
      <c r="Y83" s="657"/>
      <c r="Z83" s="657"/>
      <c r="AA83" s="657"/>
      <c r="AB83" s="657"/>
      <c r="AC83" s="657"/>
      <c r="AD83" s="657"/>
      <c r="AE83" s="657"/>
      <c r="AF83" s="657"/>
      <c r="AG83" s="657"/>
      <c r="AH83" s="657"/>
      <c r="AI83" s="657"/>
      <c r="AJ83" s="657"/>
      <c r="AK83" s="657"/>
      <c r="AL83" s="657"/>
      <c r="AM83" s="657"/>
    </row>
    <row r="84" spans="1:39">
      <c r="A84" s="657"/>
      <c r="B84" s="657"/>
      <c r="C84" s="657"/>
      <c r="D84" s="657"/>
      <c r="E84" s="657"/>
      <c r="F84" s="657"/>
      <c r="G84" s="657"/>
      <c r="H84" s="657"/>
      <c r="I84" s="657"/>
      <c r="J84" s="657"/>
      <c r="K84" s="657"/>
      <c r="L84" s="657"/>
      <c r="M84" s="657"/>
      <c r="N84" s="657"/>
      <c r="O84" s="657"/>
      <c r="P84" s="657"/>
      <c r="Q84" s="657"/>
      <c r="R84" s="657"/>
      <c r="S84" s="657"/>
      <c r="T84" s="657"/>
      <c r="U84" s="657"/>
      <c r="V84" s="657"/>
      <c r="W84" s="657"/>
      <c r="X84" s="657"/>
      <c r="Y84" s="657"/>
      <c r="Z84" s="657"/>
      <c r="AA84" s="657"/>
      <c r="AB84" s="657"/>
      <c r="AC84" s="657"/>
      <c r="AD84" s="657"/>
      <c r="AE84" s="657"/>
      <c r="AF84" s="657"/>
      <c r="AG84" s="657"/>
      <c r="AH84" s="657"/>
      <c r="AI84" s="657"/>
      <c r="AJ84" s="657"/>
      <c r="AK84" s="657"/>
      <c r="AL84" s="657"/>
      <c r="AM84" s="657"/>
    </row>
    <row r="85" spans="1:39">
      <c r="A85" s="657"/>
      <c r="B85" s="657"/>
      <c r="C85" s="657"/>
      <c r="D85" s="657"/>
      <c r="E85" s="657"/>
      <c r="F85" s="657"/>
      <c r="G85" s="657"/>
      <c r="H85" s="657"/>
      <c r="I85" s="657"/>
      <c r="J85" s="657"/>
      <c r="K85" s="657"/>
      <c r="L85" s="657"/>
      <c r="M85" s="657"/>
      <c r="N85" s="657"/>
      <c r="O85" s="657"/>
      <c r="P85" s="657"/>
      <c r="Q85" s="657"/>
      <c r="R85" s="657"/>
      <c r="S85" s="657"/>
      <c r="T85" s="657"/>
      <c r="U85" s="657"/>
      <c r="V85" s="657"/>
      <c r="W85" s="657"/>
      <c r="X85" s="657"/>
      <c r="Y85" s="657"/>
      <c r="Z85" s="657"/>
      <c r="AA85" s="657"/>
      <c r="AB85" s="657"/>
      <c r="AC85" s="657"/>
      <c r="AD85" s="657"/>
      <c r="AE85" s="657"/>
      <c r="AF85" s="657"/>
      <c r="AG85" s="657"/>
      <c r="AH85" s="657"/>
      <c r="AI85" s="657"/>
      <c r="AJ85" s="657"/>
      <c r="AK85" s="657"/>
      <c r="AL85" s="657"/>
      <c r="AM85" s="657"/>
    </row>
    <row r="86" spans="1:39">
      <c r="A86" s="657"/>
      <c r="B86" s="657"/>
      <c r="C86" s="657"/>
      <c r="D86" s="657"/>
      <c r="E86" s="657"/>
      <c r="F86" s="657"/>
      <c r="G86" s="657"/>
      <c r="H86" s="657"/>
      <c r="I86" s="657"/>
      <c r="J86" s="657"/>
      <c r="K86" s="657"/>
      <c r="L86" s="657"/>
      <c r="M86" s="657"/>
      <c r="N86" s="657"/>
      <c r="O86" s="657"/>
      <c r="P86" s="657"/>
      <c r="Q86" s="657"/>
      <c r="R86" s="657"/>
      <c r="S86" s="657"/>
      <c r="T86" s="657"/>
      <c r="U86" s="657"/>
      <c r="V86" s="657"/>
      <c r="W86" s="657"/>
      <c r="X86" s="657"/>
      <c r="Y86" s="657"/>
      <c r="Z86" s="657"/>
      <c r="AA86" s="657"/>
      <c r="AB86" s="657"/>
      <c r="AC86" s="657"/>
      <c r="AD86" s="657"/>
      <c r="AE86" s="657"/>
      <c r="AF86" s="657"/>
      <c r="AG86" s="657"/>
      <c r="AH86" s="657"/>
      <c r="AI86" s="657"/>
      <c r="AJ86" s="657"/>
      <c r="AK86" s="657"/>
      <c r="AL86" s="657"/>
      <c r="AM86" s="657"/>
    </row>
    <row r="87" spans="1:39">
      <c r="A87" s="657"/>
      <c r="B87" s="657"/>
      <c r="C87" s="657"/>
      <c r="D87" s="657"/>
      <c r="E87" s="657"/>
      <c r="F87" s="657"/>
      <c r="G87" s="657"/>
      <c r="H87" s="657"/>
      <c r="I87" s="657"/>
      <c r="J87" s="657"/>
      <c r="K87" s="657"/>
      <c r="L87" s="657"/>
      <c r="M87" s="657"/>
      <c r="N87" s="657"/>
      <c r="O87" s="657"/>
      <c r="P87" s="657"/>
      <c r="Q87" s="657"/>
      <c r="R87" s="657"/>
      <c r="S87" s="657"/>
      <c r="T87" s="657"/>
      <c r="U87" s="657"/>
      <c r="V87" s="657"/>
      <c r="W87" s="657"/>
      <c r="X87" s="657"/>
      <c r="Y87" s="657"/>
      <c r="Z87" s="657"/>
      <c r="AA87" s="657"/>
      <c r="AB87" s="657"/>
      <c r="AC87" s="657"/>
      <c r="AD87" s="657"/>
      <c r="AE87" s="657"/>
      <c r="AF87" s="657"/>
      <c r="AG87" s="657"/>
      <c r="AH87" s="657"/>
      <c r="AI87" s="657"/>
      <c r="AJ87" s="657"/>
      <c r="AK87" s="657"/>
      <c r="AL87" s="657"/>
      <c r="AM87" s="657"/>
    </row>
    <row r="88" spans="1:39">
      <c r="A88" s="657"/>
      <c r="B88" s="657"/>
      <c r="C88" s="657"/>
      <c r="D88" s="657"/>
      <c r="E88" s="657"/>
      <c r="F88" s="657"/>
      <c r="G88" s="657"/>
      <c r="H88" s="657"/>
      <c r="I88" s="657"/>
      <c r="J88" s="657"/>
      <c r="K88" s="657"/>
      <c r="L88" s="657"/>
      <c r="M88" s="657"/>
      <c r="N88" s="657"/>
      <c r="O88" s="657"/>
      <c r="P88" s="657"/>
      <c r="Q88" s="657"/>
      <c r="R88" s="657"/>
      <c r="S88" s="657"/>
      <c r="T88" s="657"/>
      <c r="U88" s="657"/>
      <c r="V88" s="657"/>
      <c r="W88" s="657"/>
      <c r="X88" s="657"/>
      <c r="Y88" s="657"/>
      <c r="Z88" s="657"/>
      <c r="AA88" s="657"/>
      <c r="AB88" s="657"/>
      <c r="AC88" s="657"/>
      <c r="AD88" s="657"/>
      <c r="AE88" s="657"/>
      <c r="AF88" s="657"/>
      <c r="AG88" s="657"/>
      <c r="AH88" s="657"/>
      <c r="AI88" s="657"/>
      <c r="AJ88" s="657"/>
      <c r="AK88" s="657"/>
      <c r="AL88" s="657"/>
      <c r="AM88" s="657"/>
    </row>
    <row r="89" spans="1:39">
      <c r="A89" s="657"/>
      <c r="B89" s="657"/>
      <c r="C89" s="657"/>
      <c r="D89" s="657"/>
      <c r="E89" s="657"/>
      <c r="F89" s="657"/>
      <c r="G89" s="657"/>
      <c r="H89" s="657"/>
      <c r="I89" s="657"/>
      <c r="J89" s="657"/>
      <c r="K89" s="657"/>
      <c r="L89" s="657"/>
      <c r="M89" s="657"/>
      <c r="N89" s="657"/>
      <c r="O89" s="657"/>
      <c r="P89" s="657"/>
      <c r="Q89" s="657"/>
      <c r="R89" s="657"/>
      <c r="S89" s="657"/>
      <c r="T89" s="657"/>
      <c r="U89" s="657"/>
      <c r="V89" s="657"/>
      <c r="W89" s="657"/>
      <c r="X89" s="657"/>
      <c r="Y89" s="657"/>
      <c r="Z89" s="657"/>
      <c r="AA89" s="657"/>
      <c r="AB89" s="657"/>
      <c r="AC89" s="657"/>
      <c r="AD89" s="657"/>
      <c r="AE89" s="657"/>
      <c r="AF89" s="657"/>
      <c r="AG89" s="657"/>
      <c r="AH89" s="657"/>
      <c r="AI89" s="657"/>
      <c r="AJ89" s="657"/>
      <c r="AK89" s="657"/>
      <c r="AL89" s="657"/>
      <c r="AM89" s="657"/>
    </row>
    <row r="90" spans="1:39">
      <c r="A90" s="657"/>
      <c r="B90" s="657"/>
      <c r="C90" s="657"/>
      <c r="D90" s="657"/>
      <c r="E90" s="657"/>
      <c r="F90" s="657"/>
      <c r="G90" s="657"/>
      <c r="H90" s="657"/>
      <c r="I90" s="657"/>
      <c r="J90" s="657"/>
      <c r="K90" s="657"/>
      <c r="L90" s="657"/>
      <c r="M90" s="657"/>
      <c r="N90" s="657"/>
      <c r="O90" s="657"/>
      <c r="P90" s="657"/>
      <c r="Q90" s="657"/>
      <c r="R90" s="657"/>
      <c r="S90" s="657"/>
      <c r="T90" s="657"/>
      <c r="U90" s="657"/>
      <c r="V90" s="657"/>
      <c r="W90" s="657"/>
      <c r="X90" s="657"/>
      <c r="Y90" s="657"/>
      <c r="Z90" s="657"/>
      <c r="AA90" s="657"/>
      <c r="AB90" s="657"/>
      <c r="AC90" s="657"/>
      <c r="AD90" s="657"/>
      <c r="AE90" s="657"/>
      <c r="AF90" s="657"/>
      <c r="AG90" s="657"/>
      <c r="AH90" s="657"/>
      <c r="AI90" s="657"/>
      <c r="AJ90" s="657"/>
      <c r="AK90" s="657"/>
      <c r="AL90" s="657"/>
      <c r="AM90" s="657"/>
    </row>
    <row r="91" spans="1:39">
      <c r="A91" s="657"/>
      <c r="B91" s="657"/>
      <c r="C91" s="657"/>
      <c r="D91" s="657"/>
      <c r="E91" s="657"/>
      <c r="F91" s="657"/>
      <c r="G91" s="657"/>
      <c r="H91" s="657"/>
      <c r="I91" s="657"/>
      <c r="J91" s="657"/>
      <c r="K91" s="657"/>
      <c r="L91" s="657"/>
      <c r="M91" s="657"/>
      <c r="N91" s="657"/>
      <c r="O91" s="657"/>
      <c r="P91" s="657"/>
      <c r="Q91" s="657"/>
      <c r="R91" s="657"/>
      <c r="S91" s="657"/>
      <c r="T91" s="657"/>
      <c r="U91" s="657"/>
      <c r="V91" s="657"/>
      <c r="W91" s="657"/>
      <c r="X91" s="657"/>
      <c r="Y91" s="657"/>
      <c r="Z91" s="657"/>
      <c r="AA91" s="657"/>
      <c r="AB91" s="657"/>
      <c r="AC91" s="657"/>
      <c r="AD91" s="657"/>
      <c r="AE91" s="657"/>
      <c r="AF91" s="657"/>
      <c r="AG91" s="657"/>
      <c r="AH91" s="657"/>
      <c r="AI91" s="657"/>
      <c r="AJ91" s="657"/>
      <c r="AK91" s="657"/>
      <c r="AL91" s="657"/>
      <c r="AM91" s="657"/>
    </row>
    <row r="92" spans="1:39">
      <c r="A92" s="657"/>
      <c r="B92" s="657"/>
      <c r="C92" s="657"/>
      <c r="D92" s="657"/>
      <c r="E92" s="657"/>
      <c r="F92" s="657"/>
      <c r="G92" s="657"/>
      <c r="H92" s="657"/>
      <c r="I92" s="657"/>
      <c r="J92" s="657"/>
      <c r="K92" s="657"/>
      <c r="L92" s="657"/>
      <c r="M92" s="657"/>
      <c r="N92" s="657"/>
      <c r="O92" s="657"/>
      <c r="P92" s="657"/>
      <c r="Q92" s="657"/>
      <c r="R92" s="657"/>
      <c r="S92" s="657"/>
      <c r="T92" s="657"/>
      <c r="U92" s="657"/>
      <c r="V92" s="657"/>
      <c r="W92" s="657"/>
      <c r="X92" s="657"/>
      <c r="Y92" s="657"/>
      <c r="Z92" s="657"/>
      <c r="AA92" s="657"/>
      <c r="AB92" s="657"/>
      <c r="AC92" s="657"/>
      <c r="AD92" s="657"/>
      <c r="AE92" s="657"/>
      <c r="AF92" s="657"/>
      <c r="AG92" s="657"/>
      <c r="AH92" s="657"/>
      <c r="AI92" s="657"/>
      <c r="AJ92" s="657"/>
      <c r="AK92" s="657"/>
      <c r="AL92" s="657"/>
      <c r="AM92" s="657"/>
    </row>
    <row r="93" spans="1:39">
      <c r="A93" s="657"/>
      <c r="B93" s="657"/>
      <c r="C93" s="657"/>
      <c r="D93" s="657"/>
      <c r="E93" s="657"/>
      <c r="F93" s="657"/>
      <c r="G93" s="657"/>
      <c r="H93" s="657"/>
      <c r="I93" s="657"/>
      <c r="J93" s="657"/>
      <c r="K93" s="657"/>
      <c r="L93" s="657"/>
      <c r="M93" s="657"/>
      <c r="N93" s="657"/>
      <c r="O93" s="657"/>
      <c r="P93" s="657"/>
      <c r="Q93" s="657"/>
      <c r="R93" s="657"/>
      <c r="S93" s="657"/>
      <c r="T93" s="657"/>
      <c r="U93" s="657"/>
      <c r="V93" s="657"/>
      <c r="W93" s="657"/>
      <c r="X93" s="657"/>
      <c r="Y93" s="657"/>
      <c r="Z93" s="657"/>
      <c r="AA93" s="657"/>
      <c r="AB93" s="657"/>
      <c r="AC93" s="657"/>
      <c r="AD93" s="657"/>
      <c r="AE93" s="657"/>
      <c r="AF93" s="657"/>
      <c r="AG93" s="657"/>
      <c r="AH93" s="657"/>
      <c r="AI93" s="657"/>
      <c r="AJ93" s="657"/>
      <c r="AK93" s="657"/>
      <c r="AL93" s="657"/>
      <c r="AM93" s="657"/>
    </row>
    <row r="94" spans="1:39">
      <c r="A94" s="657"/>
      <c r="B94" s="657"/>
      <c r="C94" s="657"/>
      <c r="D94" s="657"/>
      <c r="E94" s="657"/>
      <c r="F94" s="657"/>
      <c r="G94" s="657"/>
      <c r="H94" s="657"/>
      <c r="I94" s="657"/>
      <c r="J94" s="657"/>
      <c r="K94" s="657"/>
      <c r="L94" s="657"/>
      <c r="M94" s="657"/>
      <c r="N94" s="657"/>
      <c r="O94" s="657"/>
      <c r="P94" s="657"/>
      <c r="Q94" s="657"/>
      <c r="R94" s="657"/>
      <c r="S94" s="657"/>
      <c r="T94" s="657"/>
      <c r="U94" s="657"/>
      <c r="V94" s="657"/>
      <c r="W94" s="657"/>
      <c r="X94" s="657"/>
      <c r="Y94" s="657"/>
      <c r="Z94" s="657"/>
      <c r="AA94" s="657"/>
      <c r="AB94" s="657"/>
      <c r="AC94" s="657"/>
      <c r="AD94" s="657"/>
      <c r="AE94" s="657"/>
      <c r="AF94" s="657"/>
      <c r="AG94" s="657"/>
      <c r="AH94" s="657"/>
      <c r="AI94" s="657"/>
      <c r="AJ94" s="657"/>
      <c r="AK94" s="657"/>
      <c r="AL94" s="657"/>
      <c r="AM94" s="657"/>
    </row>
    <row r="95" spans="1:39">
      <c r="A95" s="657"/>
      <c r="B95" s="657"/>
      <c r="C95" s="657"/>
      <c r="D95" s="657"/>
      <c r="E95" s="657"/>
      <c r="F95" s="657"/>
      <c r="G95" s="657"/>
      <c r="H95" s="657"/>
      <c r="I95" s="657"/>
      <c r="J95" s="657"/>
      <c r="K95" s="657"/>
      <c r="L95" s="657"/>
      <c r="M95" s="657"/>
      <c r="N95" s="657"/>
      <c r="O95" s="657"/>
      <c r="P95" s="657"/>
      <c r="Q95" s="657"/>
      <c r="R95" s="657"/>
      <c r="S95" s="657"/>
      <c r="T95" s="657"/>
      <c r="U95" s="657"/>
      <c r="V95" s="657"/>
      <c r="W95" s="657"/>
      <c r="X95" s="657"/>
      <c r="Y95" s="657"/>
      <c r="Z95" s="657"/>
      <c r="AA95" s="657"/>
      <c r="AB95" s="657"/>
      <c r="AC95" s="657"/>
      <c r="AD95" s="657"/>
      <c r="AE95" s="657"/>
      <c r="AF95" s="657"/>
      <c r="AG95" s="657"/>
      <c r="AH95" s="657"/>
      <c r="AI95" s="657"/>
      <c r="AJ95" s="657"/>
      <c r="AK95" s="657"/>
      <c r="AL95" s="657"/>
      <c r="AM95" s="657"/>
    </row>
    <row r="96" spans="1:39">
      <c r="A96" s="657"/>
      <c r="B96" s="657"/>
      <c r="C96" s="657"/>
      <c r="D96" s="657"/>
      <c r="E96" s="657"/>
      <c r="F96" s="657"/>
      <c r="G96" s="657"/>
      <c r="H96" s="657"/>
      <c r="I96" s="657"/>
      <c r="J96" s="657"/>
      <c r="K96" s="657"/>
      <c r="L96" s="657"/>
      <c r="M96" s="657"/>
      <c r="N96" s="657"/>
      <c r="O96" s="657"/>
      <c r="P96" s="657"/>
      <c r="Q96" s="657"/>
      <c r="R96" s="657"/>
      <c r="S96" s="657"/>
      <c r="T96" s="657"/>
      <c r="U96" s="657"/>
      <c r="V96" s="657"/>
      <c r="W96" s="657"/>
      <c r="X96" s="657"/>
      <c r="Y96" s="657"/>
      <c r="Z96" s="657"/>
      <c r="AA96" s="657"/>
      <c r="AB96" s="657"/>
      <c r="AC96" s="657"/>
      <c r="AD96" s="657"/>
      <c r="AE96" s="657"/>
      <c r="AF96" s="657"/>
      <c r="AG96" s="657"/>
      <c r="AH96" s="657"/>
      <c r="AI96" s="657"/>
      <c r="AJ96" s="657"/>
      <c r="AK96" s="657"/>
      <c r="AL96" s="657"/>
      <c r="AM96" s="657"/>
    </row>
    <row r="97" spans="1:39">
      <c r="A97" s="657"/>
      <c r="B97" s="657"/>
      <c r="C97" s="657"/>
      <c r="D97" s="657"/>
      <c r="E97" s="657"/>
      <c r="F97" s="657"/>
      <c r="G97" s="657"/>
      <c r="H97" s="657"/>
      <c r="I97" s="657"/>
      <c r="J97" s="657"/>
      <c r="K97" s="657"/>
      <c r="L97" s="657"/>
      <c r="M97" s="657"/>
      <c r="N97" s="657"/>
      <c r="O97" s="657"/>
      <c r="P97" s="657"/>
      <c r="Q97" s="657"/>
      <c r="R97" s="657"/>
      <c r="S97" s="657"/>
      <c r="T97" s="657"/>
      <c r="U97" s="657"/>
      <c r="V97" s="657"/>
      <c r="W97" s="657"/>
      <c r="X97" s="657"/>
      <c r="Y97" s="657"/>
      <c r="Z97" s="657"/>
      <c r="AA97" s="657"/>
      <c r="AB97" s="657"/>
      <c r="AC97" s="657"/>
      <c r="AD97" s="657"/>
      <c r="AE97" s="657"/>
      <c r="AF97" s="657"/>
      <c r="AG97" s="657"/>
      <c r="AH97" s="657"/>
      <c r="AI97" s="657"/>
      <c r="AJ97" s="657"/>
      <c r="AK97" s="657"/>
      <c r="AL97" s="657"/>
      <c r="AM97" s="657"/>
    </row>
    <row r="98" spans="1:39">
      <c r="A98" s="657"/>
      <c r="B98" s="657"/>
      <c r="C98" s="657"/>
      <c r="D98" s="657"/>
      <c r="E98" s="657"/>
      <c r="F98" s="657"/>
      <c r="G98" s="657"/>
      <c r="H98" s="657"/>
      <c r="I98" s="657"/>
      <c r="J98" s="657"/>
      <c r="K98" s="657"/>
      <c r="L98" s="657"/>
      <c r="M98" s="657"/>
      <c r="N98" s="657"/>
      <c r="O98" s="657"/>
      <c r="P98" s="657"/>
      <c r="Q98" s="657"/>
      <c r="R98" s="657"/>
      <c r="S98" s="657"/>
      <c r="T98" s="657"/>
      <c r="U98" s="657"/>
      <c r="V98" s="657"/>
      <c r="W98" s="657"/>
      <c r="X98" s="657"/>
      <c r="Y98" s="657"/>
      <c r="Z98" s="657"/>
      <c r="AA98" s="657"/>
      <c r="AB98" s="657"/>
      <c r="AC98" s="657"/>
      <c r="AD98" s="657"/>
      <c r="AE98" s="657"/>
      <c r="AF98" s="657"/>
      <c r="AG98" s="657"/>
      <c r="AH98" s="657"/>
      <c r="AI98" s="657"/>
      <c r="AJ98" s="657"/>
      <c r="AK98" s="657"/>
      <c r="AL98" s="657"/>
      <c r="AM98" s="657"/>
    </row>
    <row r="99" spans="1:39">
      <c r="A99" s="657"/>
      <c r="B99" s="657"/>
      <c r="C99" s="657"/>
      <c r="D99" s="657"/>
      <c r="E99" s="657"/>
      <c r="F99" s="657"/>
      <c r="G99" s="657"/>
      <c r="H99" s="657"/>
      <c r="I99" s="657"/>
      <c r="J99" s="657"/>
      <c r="K99" s="657"/>
      <c r="L99" s="657"/>
      <c r="M99" s="657"/>
      <c r="N99" s="657"/>
      <c r="O99" s="657"/>
      <c r="P99" s="657"/>
      <c r="Q99" s="657"/>
      <c r="R99" s="657"/>
      <c r="S99" s="657"/>
      <c r="T99" s="657"/>
      <c r="U99" s="657"/>
      <c r="V99" s="657"/>
      <c r="W99" s="657"/>
      <c r="X99" s="657"/>
      <c r="Y99" s="657"/>
      <c r="Z99" s="657"/>
      <c r="AA99" s="657"/>
      <c r="AB99" s="657"/>
      <c r="AC99" s="657"/>
      <c r="AD99" s="657"/>
      <c r="AE99" s="657"/>
      <c r="AF99" s="657"/>
      <c r="AG99" s="657"/>
      <c r="AH99" s="657"/>
      <c r="AI99" s="657"/>
      <c r="AJ99" s="657"/>
      <c r="AK99" s="657"/>
      <c r="AL99" s="657"/>
      <c r="AM99" s="657"/>
    </row>
    <row r="100" spans="1:39">
      <c r="A100" s="657"/>
      <c r="B100" s="657"/>
      <c r="C100" s="657"/>
      <c r="D100" s="657"/>
      <c r="E100" s="657"/>
      <c r="F100" s="657"/>
      <c r="G100" s="657"/>
      <c r="H100" s="657"/>
      <c r="I100" s="657"/>
      <c r="J100" s="657"/>
      <c r="K100" s="657"/>
      <c r="L100" s="657"/>
      <c r="M100" s="657"/>
      <c r="N100" s="657"/>
      <c r="O100" s="657"/>
      <c r="P100" s="657"/>
      <c r="Q100" s="657"/>
      <c r="R100" s="657"/>
      <c r="S100" s="657"/>
      <c r="T100" s="657"/>
      <c r="U100" s="657"/>
      <c r="V100" s="657"/>
      <c r="W100" s="657"/>
      <c r="X100" s="657"/>
      <c r="Y100" s="657"/>
      <c r="Z100" s="657"/>
      <c r="AA100" s="657"/>
      <c r="AB100" s="657"/>
      <c r="AC100" s="657"/>
      <c r="AD100" s="657"/>
      <c r="AE100" s="657"/>
      <c r="AF100" s="657"/>
      <c r="AG100" s="657"/>
      <c r="AH100" s="657"/>
      <c r="AI100" s="657"/>
      <c r="AJ100" s="657"/>
      <c r="AK100" s="657"/>
      <c r="AL100" s="657"/>
      <c r="AM100" s="657"/>
    </row>
    <row r="101" spans="1:39">
      <c r="A101" s="657"/>
      <c r="B101" s="657"/>
      <c r="C101" s="657"/>
      <c r="D101" s="657"/>
      <c r="E101" s="657"/>
      <c r="F101" s="657"/>
      <c r="G101" s="657"/>
      <c r="H101" s="657"/>
      <c r="I101" s="657"/>
      <c r="J101" s="657"/>
      <c r="K101" s="657"/>
      <c r="L101" s="657"/>
      <c r="M101" s="657"/>
      <c r="N101" s="657"/>
      <c r="O101" s="657"/>
      <c r="P101" s="657"/>
      <c r="Q101" s="657"/>
      <c r="R101" s="657"/>
      <c r="S101" s="657"/>
      <c r="T101" s="657"/>
      <c r="U101" s="657"/>
      <c r="V101" s="657"/>
      <c r="W101" s="657"/>
      <c r="X101" s="657"/>
      <c r="Y101" s="657"/>
      <c r="Z101" s="657"/>
      <c r="AA101" s="657"/>
      <c r="AB101" s="657"/>
      <c r="AC101" s="657"/>
      <c r="AD101" s="657"/>
      <c r="AE101" s="657"/>
      <c r="AF101" s="657"/>
      <c r="AG101" s="657"/>
      <c r="AH101" s="657"/>
      <c r="AI101" s="657"/>
      <c r="AJ101" s="657"/>
      <c r="AK101" s="657"/>
      <c r="AL101" s="657"/>
      <c r="AM101" s="657"/>
    </row>
    <row r="102" spans="1:39">
      <c r="A102" s="657"/>
      <c r="B102" s="657"/>
      <c r="C102" s="657"/>
      <c r="D102" s="657"/>
      <c r="E102" s="657"/>
      <c r="F102" s="657"/>
      <c r="G102" s="657"/>
      <c r="H102" s="657"/>
      <c r="I102" s="657"/>
      <c r="J102" s="657"/>
      <c r="K102" s="657"/>
      <c r="L102" s="657"/>
      <c r="M102" s="657"/>
      <c r="N102" s="657"/>
      <c r="O102" s="657"/>
      <c r="P102" s="657"/>
      <c r="Q102" s="657"/>
      <c r="R102" s="657"/>
      <c r="S102" s="657"/>
      <c r="T102" s="657"/>
      <c r="U102" s="657"/>
      <c r="V102" s="657"/>
      <c r="W102" s="657"/>
      <c r="X102" s="657"/>
      <c r="Y102" s="657"/>
      <c r="Z102" s="657"/>
      <c r="AA102" s="657"/>
      <c r="AB102" s="657"/>
      <c r="AC102" s="657"/>
      <c r="AD102" s="657"/>
      <c r="AE102" s="657"/>
      <c r="AF102" s="657"/>
      <c r="AG102" s="657"/>
      <c r="AH102" s="657"/>
      <c r="AI102" s="657"/>
      <c r="AJ102" s="657"/>
      <c r="AK102" s="657"/>
      <c r="AL102" s="657"/>
      <c r="AM102" s="657"/>
    </row>
    <row r="103" spans="1:39">
      <c r="A103" s="657"/>
      <c r="B103" s="657"/>
      <c r="C103" s="657"/>
      <c r="D103" s="657"/>
      <c r="E103" s="657"/>
      <c r="F103" s="657"/>
      <c r="G103" s="657"/>
      <c r="H103" s="657"/>
      <c r="I103" s="657"/>
      <c r="J103" s="657"/>
      <c r="K103" s="657"/>
      <c r="L103" s="657"/>
      <c r="M103" s="657"/>
      <c r="N103" s="657"/>
      <c r="O103" s="657"/>
      <c r="P103" s="657"/>
      <c r="Q103" s="657"/>
      <c r="R103" s="657"/>
      <c r="S103" s="657"/>
      <c r="T103" s="657"/>
      <c r="U103" s="657"/>
      <c r="V103" s="657"/>
      <c r="W103" s="657"/>
      <c r="X103" s="657"/>
      <c r="Y103" s="657"/>
      <c r="Z103" s="657"/>
      <c r="AA103" s="657"/>
      <c r="AB103" s="657"/>
      <c r="AC103" s="657"/>
      <c r="AD103" s="657"/>
      <c r="AE103" s="657"/>
      <c r="AF103" s="657"/>
      <c r="AG103" s="657"/>
      <c r="AH103" s="657"/>
      <c r="AI103" s="657"/>
      <c r="AJ103" s="657"/>
      <c r="AK103" s="657"/>
      <c r="AL103" s="657"/>
      <c r="AM103" s="657"/>
    </row>
    <row r="104" spans="1:39">
      <c r="A104" s="657"/>
      <c r="B104" s="657"/>
      <c r="C104" s="657"/>
      <c r="D104" s="657"/>
      <c r="E104" s="657"/>
      <c r="F104" s="657"/>
      <c r="G104" s="657"/>
      <c r="H104" s="657"/>
      <c r="I104" s="657"/>
      <c r="J104" s="657"/>
      <c r="K104" s="657"/>
      <c r="L104" s="657"/>
      <c r="M104" s="657"/>
      <c r="N104" s="657"/>
      <c r="O104" s="657"/>
      <c r="P104" s="657"/>
      <c r="Q104" s="657"/>
      <c r="R104" s="657"/>
      <c r="S104" s="657"/>
      <c r="T104" s="657"/>
      <c r="U104" s="657"/>
      <c r="V104" s="657"/>
      <c r="W104" s="657"/>
      <c r="X104" s="657"/>
      <c r="Y104" s="657"/>
      <c r="Z104" s="657"/>
      <c r="AA104" s="657"/>
      <c r="AB104" s="657"/>
      <c r="AC104" s="657"/>
      <c r="AD104" s="657"/>
      <c r="AE104" s="657"/>
      <c r="AF104" s="657"/>
      <c r="AG104" s="657"/>
      <c r="AH104" s="657"/>
      <c r="AI104" s="657"/>
      <c r="AJ104" s="657"/>
      <c r="AK104" s="657"/>
      <c r="AL104" s="657"/>
      <c r="AM104" s="657"/>
    </row>
    <row r="105" spans="1:39">
      <c r="A105" s="657"/>
      <c r="B105" s="657"/>
      <c r="C105" s="657"/>
      <c r="D105" s="657"/>
      <c r="E105" s="657"/>
      <c r="F105" s="657"/>
      <c r="G105" s="657"/>
      <c r="H105" s="657"/>
      <c r="I105" s="657"/>
      <c r="J105" s="657"/>
      <c r="K105" s="657"/>
      <c r="L105" s="657"/>
      <c r="M105" s="657"/>
      <c r="N105" s="657"/>
      <c r="O105" s="657"/>
      <c r="P105" s="657"/>
      <c r="Q105" s="657"/>
      <c r="R105" s="657"/>
      <c r="S105" s="657"/>
      <c r="T105" s="657"/>
      <c r="U105" s="657"/>
      <c r="V105" s="657"/>
      <c r="W105" s="657"/>
      <c r="X105" s="657"/>
      <c r="Y105" s="657"/>
      <c r="Z105" s="657"/>
      <c r="AA105" s="657"/>
      <c r="AB105" s="657"/>
      <c r="AC105" s="657"/>
      <c r="AD105" s="657"/>
      <c r="AE105" s="657"/>
      <c r="AF105" s="657"/>
      <c r="AG105" s="657"/>
      <c r="AH105" s="657"/>
      <c r="AI105" s="657"/>
      <c r="AJ105" s="657"/>
      <c r="AK105" s="657"/>
      <c r="AL105" s="657"/>
      <c r="AM105" s="657"/>
    </row>
    <row r="106" spans="1:39">
      <c r="A106" s="657"/>
      <c r="B106" s="657"/>
      <c r="C106" s="657"/>
      <c r="D106" s="657"/>
      <c r="E106" s="657"/>
      <c r="F106" s="657"/>
      <c r="G106" s="657"/>
      <c r="H106" s="657"/>
      <c r="I106" s="657"/>
      <c r="J106" s="657"/>
      <c r="K106" s="657"/>
      <c r="L106" s="657"/>
      <c r="M106" s="657"/>
      <c r="N106" s="657"/>
      <c r="O106" s="657"/>
      <c r="P106" s="657"/>
      <c r="Q106" s="657"/>
      <c r="R106" s="657"/>
      <c r="S106" s="657"/>
      <c r="T106" s="657"/>
      <c r="U106" s="657"/>
      <c r="V106" s="657"/>
      <c r="W106" s="657"/>
      <c r="X106" s="657"/>
      <c r="Y106" s="657"/>
      <c r="Z106" s="657"/>
      <c r="AA106" s="657"/>
      <c r="AB106" s="657"/>
      <c r="AC106" s="657"/>
      <c r="AD106" s="657"/>
      <c r="AE106" s="657"/>
      <c r="AF106" s="657"/>
      <c r="AG106" s="657"/>
      <c r="AH106" s="657"/>
      <c r="AI106" s="657"/>
      <c r="AJ106" s="657"/>
      <c r="AK106" s="657"/>
      <c r="AL106" s="657"/>
      <c r="AM106" s="657"/>
    </row>
    <row r="107" spans="1:39">
      <c r="A107" s="657"/>
      <c r="B107" s="657"/>
      <c r="C107" s="657"/>
      <c r="D107" s="657"/>
      <c r="E107" s="657"/>
      <c r="F107" s="657"/>
      <c r="G107" s="657"/>
      <c r="H107" s="657"/>
      <c r="I107" s="657"/>
      <c r="J107" s="657"/>
      <c r="K107" s="657"/>
      <c r="L107" s="657"/>
      <c r="M107" s="657"/>
      <c r="N107" s="657"/>
      <c r="O107" s="657"/>
      <c r="P107" s="657"/>
      <c r="Q107" s="657"/>
      <c r="R107" s="657"/>
      <c r="S107" s="657"/>
      <c r="T107" s="657"/>
      <c r="U107" s="657"/>
      <c r="V107" s="657"/>
      <c r="W107" s="657"/>
      <c r="X107" s="657"/>
      <c r="Y107" s="657"/>
      <c r="Z107" s="657"/>
      <c r="AA107" s="657"/>
      <c r="AB107" s="657"/>
      <c r="AC107" s="657"/>
      <c r="AD107" s="657"/>
      <c r="AE107" s="657"/>
      <c r="AF107" s="657"/>
      <c r="AG107" s="657"/>
      <c r="AH107" s="657"/>
      <c r="AI107" s="657"/>
      <c r="AJ107" s="657"/>
      <c r="AK107" s="657"/>
      <c r="AL107" s="657"/>
      <c r="AM107" s="657"/>
    </row>
    <row r="108" spans="1:39">
      <c r="A108" s="657"/>
      <c r="B108" s="657"/>
      <c r="C108" s="657"/>
      <c r="D108" s="657"/>
      <c r="E108" s="657"/>
      <c r="F108" s="657"/>
      <c r="G108" s="657"/>
      <c r="H108" s="657"/>
      <c r="I108" s="657"/>
      <c r="J108" s="657"/>
      <c r="K108" s="657"/>
      <c r="L108" s="657"/>
      <c r="M108" s="657"/>
      <c r="N108" s="657"/>
      <c r="O108" s="657"/>
      <c r="P108" s="657"/>
      <c r="Q108" s="657"/>
      <c r="R108" s="657"/>
      <c r="S108" s="657"/>
      <c r="T108" s="657"/>
      <c r="U108" s="657"/>
      <c r="V108" s="657"/>
      <c r="W108" s="657"/>
      <c r="X108" s="657"/>
      <c r="Y108" s="657"/>
      <c r="Z108" s="657"/>
      <c r="AA108" s="657"/>
      <c r="AB108" s="657"/>
      <c r="AC108" s="657"/>
      <c r="AD108" s="657"/>
      <c r="AE108" s="657"/>
      <c r="AF108" s="657"/>
      <c r="AG108" s="657"/>
      <c r="AH108" s="657"/>
      <c r="AI108" s="657"/>
      <c r="AJ108" s="657"/>
      <c r="AK108" s="657"/>
      <c r="AL108" s="657"/>
      <c r="AM108" s="657"/>
    </row>
    <row r="109" spans="1:39">
      <c r="A109" s="657"/>
      <c r="B109" s="657"/>
      <c r="C109" s="657"/>
      <c r="D109" s="657"/>
      <c r="E109" s="657"/>
      <c r="F109" s="657"/>
      <c r="G109" s="657"/>
      <c r="H109" s="657"/>
      <c r="I109" s="657"/>
      <c r="J109" s="657"/>
      <c r="K109" s="657"/>
      <c r="L109" s="657"/>
      <c r="M109" s="657"/>
      <c r="N109" s="657"/>
      <c r="O109" s="657"/>
      <c r="P109" s="657"/>
      <c r="Q109" s="657"/>
      <c r="R109" s="657"/>
      <c r="S109" s="657"/>
      <c r="T109" s="657"/>
      <c r="U109" s="657"/>
      <c r="V109" s="657"/>
      <c r="W109" s="657"/>
      <c r="X109" s="657"/>
      <c r="Y109" s="657"/>
      <c r="Z109" s="657"/>
      <c r="AA109" s="657"/>
      <c r="AB109" s="657"/>
      <c r="AC109" s="657"/>
      <c r="AD109" s="657"/>
      <c r="AE109" s="657"/>
      <c r="AF109" s="657"/>
      <c r="AG109" s="657"/>
      <c r="AH109" s="657"/>
      <c r="AI109" s="657"/>
      <c r="AJ109" s="657"/>
      <c r="AK109" s="657"/>
      <c r="AL109" s="657"/>
      <c r="AM109" s="657"/>
    </row>
    <row r="110" spans="1:39">
      <c r="A110" s="657"/>
      <c r="B110" s="657"/>
      <c r="C110" s="657"/>
      <c r="D110" s="657"/>
      <c r="E110" s="657"/>
      <c r="F110" s="657"/>
      <c r="G110" s="657"/>
      <c r="H110" s="657"/>
      <c r="I110" s="657"/>
      <c r="J110" s="657"/>
      <c r="K110" s="657"/>
      <c r="L110" s="657"/>
      <c r="M110" s="657"/>
      <c r="N110" s="657"/>
      <c r="O110" s="657"/>
      <c r="P110" s="657"/>
      <c r="Q110" s="657"/>
      <c r="R110" s="657"/>
      <c r="S110" s="657"/>
      <c r="T110" s="657"/>
      <c r="U110" s="657"/>
      <c r="V110" s="657"/>
      <c r="W110" s="657"/>
      <c r="X110" s="657"/>
      <c r="Y110" s="657"/>
      <c r="Z110" s="657"/>
      <c r="AA110" s="657"/>
      <c r="AB110" s="657"/>
      <c r="AC110" s="657"/>
      <c r="AD110" s="657"/>
      <c r="AE110" s="657"/>
      <c r="AF110" s="657"/>
      <c r="AG110" s="657"/>
      <c r="AH110" s="657"/>
      <c r="AI110" s="657"/>
      <c r="AJ110" s="657"/>
      <c r="AK110" s="657"/>
      <c r="AL110" s="657"/>
      <c r="AM110" s="657"/>
    </row>
    <row r="111" spans="1:39">
      <c r="A111" s="657"/>
      <c r="B111" s="657"/>
      <c r="C111" s="657"/>
      <c r="D111" s="657"/>
      <c r="E111" s="657"/>
      <c r="F111" s="657"/>
      <c r="G111" s="657"/>
      <c r="H111" s="657"/>
      <c r="I111" s="657"/>
      <c r="J111" s="657"/>
      <c r="K111" s="657"/>
      <c r="L111" s="657"/>
      <c r="M111" s="657"/>
      <c r="N111" s="657"/>
      <c r="O111" s="657"/>
      <c r="P111" s="657"/>
      <c r="Q111" s="657"/>
      <c r="R111" s="657"/>
      <c r="S111" s="657"/>
      <c r="T111" s="657"/>
      <c r="U111" s="657"/>
      <c r="V111" s="657"/>
      <c r="W111" s="657"/>
      <c r="X111" s="657"/>
      <c r="Y111" s="657"/>
      <c r="Z111" s="657"/>
      <c r="AA111" s="657"/>
      <c r="AB111" s="657"/>
      <c r="AC111" s="657"/>
      <c r="AD111" s="657"/>
      <c r="AE111" s="657"/>
      <c r="AF111" s="657"/>
      <c r="AG111" s="657"/>
      <c r="AH111" s="657"/>
      <c r="AI111" s="657"/>
      <c r="AJ111" s="657"/>
      <c r="AK111" s="657"/>
      <c r="AL111" s="657"/>
      <c r="AM111" s="657"/>
    </row>
    <row r="112" spans="1:39">
      <c r="A112" s="657"/>
      <c r="B112" s="657"/>
      <c r="C112" s="657"/>
      <c r="D112" s="657"/>
      <c r="E112" s="657"/>
      <c r="F112" s="657"/>
      <c r="G112" s="657"/>
      <c r="H112" s="657"/>
      <c r="I112" s="657"/>
      <c r="J112" s="657"/>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657"/>
      <c r="AL112" s="657"/>
      <c r="AM112" s="657"/>
    </row>
    <row r="113" spans="1:39">
      <c r="A113" s="657"/>
      <c r="B113" s="657"/>
      <c r="C113" s="657"/>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7"/>
      <c r="AI113" s="657"/>
      <c r="AJ113" s="657"/>
      <c r="AK113" s="657"/>
      <c r="AL113" s="657"/>
      <c r="AM113" s="657"/>
    </row>
    <row r="114" spans="1:39">
      <c r="A114" s="657"/>
      <c r="B114" s="657"/>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row>
    <row r="115" spans="1:39">
      <c r="A115" s="657"/>
      <c r="B115" s="657"/>
      <c r="C115" s="657"/>
      <c r="D115" s="657"/>
      <c r="E115" s="657"/>
      <c r="F115" s="657"/>
      <c r="G115" s="657"/>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657"/>
      <c r="AL115" s="657"/>
      <c r="AM115" s="657"/>
    </row>
    <row r="116" spans="1:39">
      <c r="A116" s="657"/>
      <c r="B116" s="657"/>
      <c r="C116" s="657"/>
      <c r="D116" s="657"/>
      <c r="E116" s="657"/>
      <c r="F116" s="657"/>
      <c r="G116" s="657"/>
      <c r="H116" s="657"/>
      <c r="I116" s="657"/>
      <c r="J116" s="657"/>
      <c r="K116" s="657"/>
      <c r="L116" s="657"/>
      <c r="M116" s="657"/>
      <c r="N116" s="657"/>
      <c r="O116" s="657"/>
      <c r="P116" s="657"/>
      <c r="Q116" s="657"/>
      <c r="R116" s="657"/>
      <c r="S116" s="657"/>
      <c r="T116" s="657"/>
      <c r="U116" s="657"/>
      <c r="V116" s="657"/>
      <c r="W116" s="657"/>
      <c r="X116" s="657"/>
      <c r="Y116" s="657"/>
      <c r="Z116" s="657"/>
      <c r="AA116" s="657"/>
      <c r="AB116" s="657"/>
      <c r="AC116" s="657"/>
      <c r="AD116" s="657"/>
      <c r="AE116" s="657"/>
      <c r="AF116" s="657"/>
      <c r="AG116" s="657"/>
      <c r="AH116" s="657"/>
      <c r="AI116" s="657"/>
      <c r="AJ116" s="657"/>
      <c r="AK116" s="657"/>
      <c r="AL116" s="657"/>
      <c r="AM116" s="657"/>
    </row>
    <row r="117" spans="1:39">
      <c r="A117" s="657"/>
      <c r="B117" s="657"/>
      <c r="C117" s="657"/>
      <c r="D117" s="657"/>
      <c r="E117" s="657"/>
      <c r="F117" s="657"/>
      <c r="G117" s="657"/>
      <c r="H117" s="657"/>
      <c r="I117" s="657"/>
      <c r="J117" s="657"/>
      <c r="K117" s="657"/>
      <c r="L117" s="657"/>
      <c r="M117" s="657"/>
      <c r="N117" s="657"/>
      <c r="O117" s="657"/>
      <c r="P117" s="657"/>
      <c r="Q117" s="657"/>
      <c r="R117" s="657"/>
      <c r="S117" s="657"/>
      <c r="T117" s="657"/>
      <c r="U117" s="657"/>
      <c r="V117" s="657"/>
      <c r="W117" s="657"/>
      <c r="X117" s="657"/>
      <c r="Y117" s="657"/>
      <c r="Z117" s="657"/>
      <c r="AA117" s="657"/>
      <c r="AB117" s="657"/>
      <c r="AC117" s="657"/>
      <c r="AD117" s="657"/>
      <c r="AE117" s="657"/>
      <c r="AF117" s="657"/>
      <c r="AG117" s="657"/>
      <c r="AH117" s="657"/>
      <c r="AI117" s="657"/>
      <c r="AJ117" s="657"/>
      <c r="AK117" s="657"/>
      <c r="AL117" s="657"/>
      <c r="AM117" s="657"/>
    </row>
    <row r="118" spans="1:39">
      <c r="A118" s="657"/>
      <c r="B118" s="657"/>
      <c r="C118" s="657"/>
      <c r="D118" s="657"/>
      <c r="E118" s="657"/>
      <c r="F118" s="657"/>
      <c r="G118" s="657"/>
      <c r="H118" s="657"/>
      <c r="I118" s="657"/>
      <c r="J118" s="657"/>
      <c r="K118" s="657"/>
      <c r="L118" s="657"/>
      <c r="M118" s="657"/>
      <c r="N118" s="657"/>
      <c r="O118" s="657"/>
      <c r="P118" s="657"/>
      <c r="Q118" s="657"/>
      <c r="R118" s="657"/>
      <c r="S118" s="657"/>
      <c r="T118" s="657"/>
      <c r="U118" s="657"/>
      <c r="V118" s="657"/>
      <c r="W118" s="657"/>
      <c r="X118" s="657"/>
      <c r="Y118" s="657"/>
      <c r="Z118" s="657"/>
      <c r="AA118" s="657"/>
      <c r="AB118" s="657"/>
      <c r="AC118" s="657"/>
      <c r="AD118" s="657"/>
      <c r="AE118" s="657"/>
      <c r="AF118" s="657"/>
      <c r="AG118" s="657"/>
      <c r="AH118" s="657"/>
      <c r="AI118" s="657"/>
      <c r="AJ118" s="657"/>
      <c r="AK118" s="657"/>
      <c r="AL118" s="657"/>
      <c r="AM118" s="657"/>
    </row>
    <row r="119" spans="1:39">
      <c r="A119" s="657"/>
      <c r="B119" s="657"/>
      <c r="C119" s="657"/>
      <c r="D119" s="657"/>
      <c r="E119" s="657"/>
      <c r="F119" s="657"/>
      <c r="G119" s="657"/>
      <c r="H119" s="657"/>
      <c r="I119" s="657"/>
      <c r="J119" s="657"/>
      <c r="K119" s="657"/>
      <c r="L119" s="657"/>
      <c r="M119" s="657"/>
      <c r="N119" s="657"/>
      <c r="O119" s="657"/>
      <c r="P119" s="657"/>
      <c r="Q119" s="657"/>
      <c r="R119" s="657"/>
      <c r="S119" s="657"/>
      <c r="T119" s="657"/>
      <c r="U119" s="657"/>
      <c r="V119" s="657"/>
      <c r="W119" s="657"/>
      <c r="X119" s="657"/>
      <c r="Y119" s="657"/>
      <c r="Z119" s="657"/>
      <c r="AA119" s="657"/>
      <c r="AB119" s="657"/>
      <c r="AC119" s="657"/>
      <c r="AD119" s="657"/>
      <c r="AE119" s="657"/>
      <c r="AF119" s="657"/>
      <c r="AG119" s="657"/>
      <c r="AH119" s="657"/>
      <c r="AI119" s="657"/>
      <c r="AJ119" s="657"/>
      <c r="AK119" s="657"/>
      <c r="AL119" s="657"/>
      <c r="AM119" s="657"/>
    </row>
    <row r="120" spans="1:39">
      <c r="A120" s="657"/>
      <c r="B120" s="657"/>
      <c r="C120" s="657"/>
      <c r="D120" s="657"/>
      <c r="E120" s="657"/>
      <c r="F120" s="657"/>
      <c r="G120" s="657"/>
      <c r="H120" s="657"/>
      <c r="I120" s="657"/>
      <c r="J120" s="657"/>
      <c r="K120" s="657"/>
      <c r="L120" s="657"/>
      <c r="M120" s="657"/>
      <c r="N120" s="657"/>
      <c r="O120" s="657"/>
      <c r="P120" s="657"/>
      <c r="Q120" s="657"/>
      <c r="R120" s="657"/>
      <c r="S120" s="657"/>
      <c r="T120" s="657"/>
      <c r="U120" s="657"/>
      <c r="V120" s="657"/>
      <c r="W120" s="657"/>
      <c r="X120" s="657"/>
      <c r="Y120" s="657"/>
      <c r="Z120" s="657"/>
      <c r="AA120" s="657"/>
      <c r="AB120" s="657"/>
      <c r="AC120" s="657"/>
      <c r="AD120" s="657"/>
      <c r="AE120" s="657"/>
      <c r="AF120" s="657"/>
      <c r="AG120" s="657"/>
      <c r="AH120" s="657"/>
      <c r="AI120" s="657"/>
      <c r="AJ120" s="657"/>
      <c r="AK120" s="657"/>
      <c r="AL120" s="657"/>
      <c r="AM120" s="657"/>
    </row>
    <row r="121" spans="1:39">
      <c r="A121" s="657"/>
      <c r="B121" s="657"/>
      <c r="C121" s="657"/>
      <c r="D121" s="657"/>
      <c r="E121" s="657"/>
      <c r="F121" s="657"/>
      <c r="G121" s="657"/>
      <c r="H121" s="657"/>
      <c r="I121" s="657"/>
      <c r="J121" s="657"/>
      <c r="K121" s="657"/>
      <c r="L121" s="657"/>
      <c r="M121" s="657"/>
      <c r="N121" s="657"/>
      <c r="O121" s="657"/>
      <c r="P121" s="657"/>
      <c r="Q121" s="657"/>
      <c r="R121" s="657"/>
      <c r="S121" s="657"/>
      <c r="T121" s="657"/>
      <c r="U121" s="657"/>
      <c r="V121" s="657"/>
      <c r="W121" s="657"/>
      <c r="X121" s="657"/>
      <c r="Y121" s="657"/>
      <c r="Z121" s="657"/>
      <c r="AA121" s="657"/>
      <c r="AB121" s="657"/>
      <c r="AC121" s="657"/>
      <c r="AD121" s="657"/>
      <c r="AE121" s="657"/>
      <c r="AF121" s="657"/>
      <c r="AG121" s="657"/>
      <c r="AH121" s="657"/>
      <c r="AI121" s="657"/>
      <c r="AJ121" s="657"/>
      <c r="AK121" s="657"/>
      <c r="AL121" s="657"/>
      <c r="AM121" s="657"/>
    </row>
    <row r="122" spans="1:39">
      <c r="A122" s="657"/>
      <c r="B122" s="657"/>
      <c r="C122" s="657"/>
      <c r="D122" s="657"/>
      <c r="E122" s="657"/>
      <c r="F122" s="657"/>
      <c r="G122" s="657"/>
      <c r="H122" s="657"/>
      <c r="I122" s="657"/>
      <c r="J122" s="657"/>
      <c r="K122" s="657"/>
      <c r="L122" s="657"/>
      <c r="M122" s="657"/>
      <c r="N122" s="657"/>
      <c r="O122" s="657"/>
      <c r="P122" s="657"/>
      <c r="Q122" s="657"/>
      <c r="R122" s="657"/>
      <c r="S122" s="657"/>
      <c r="T122" s="657"/>
      <c r="U122" s="657"/>
      <c r="V122" s="657"/>
      <c r="W122" s="657"/>
      <c r="X122" s="657"/>
      <c r="Y122" s="657"/>
      <c r="Z122" s="657"/>
      <c r="AA122" s="657"/>
      <c r="AB122" s="657"/>
      <c r="AC122" s="657"/>
      <c r="AD122" s="657"/>
      <c r="AE122" s="657"/>
      <c r="AF122" s="657"/>
      <c r="AG122" s="657"/>
      <c r="AH122" s="657"/>
      <c r="AI122" s="657"/>
      <c r="AJ122" s="657"/>
      <c r="AK122" s="657"/>
      <c r="AL122" s="657"/>
      <c r="AM122" s="657"/>
    </row>
    <row r="123" spans="1:39">
      <c r="A123" s="657"/>
      <c r="B123" s="657"/>
      <c r="C123" s="657"/>
      <c r="D123" s="657"/>
      <c r="E123" s="657"/>
      <c r="F123" s="657"/>
      <c r="G123" s="657"/>
      <c r="H123" s="657"/>
      <c r="I123" s="657"/>
      <c r="J123" s="657"/>
      <c r="K123" s="657"/>
      <c r="L123" s="657"/>
      <c r="M123" s="657"/>
      <c r="N123" s="657"/>
      <c r="O123" s="657"/>
      <c r="P123" s="657"/>
      <c r="Q123" s="657"/>
      <c r="R123" s="657"/>
      <c r="S123" s="657"/>
      <c r="T123" s="657"/>
      <c r="U123" s="657"/>
      <c r="V123" s="657"/>
      <c r="W123" s="657"/>
      <c r="X123" s="657"/>
      <c r="Y123" s="657"/>
      <c r="Z123" s="657"/>
      <c r="AA123" s="657"/>
      <c r="AB123" s="657"/>
      <c r="AC123" s="657"/>
      <c r="AD123" s="657"/>
      <c r="AE123" s="657"/>
      <c r="AF123" s="657"/>
      <c r="AG123" s="657"/>
      <c r="AH123" s="657"/>
      <c r="AI123" s="657"/>
      <c r="AJ123" s="657"/>
      <c r="AK123" s="657"/>
      <c r="AL123" s="657"/>
      <c r="AM123" s="657"/>
    </row>
    <row r="124" spans="1:39">
      <c r="A124" s="657"/>
      <c r="B124" s="657"/>
      <c r="C124" s="657"/>
      <c r="D124" s="657"/>
      <c r="E124" s="657"/>
      <c r="F124" s="657"/>
      <c r="G124" s="657"/>
      <c r="H124" s="657"/>
      <c r="I124" s="657"/>
      <c r="J124" s="657"/>
      <c r="K124" s="657"/>
      <c r="L124" s="657"/>
      <c r="M124" s="657"/>
      <c r="N124" s="657"/>
      <c r="O124" s="657"/>
      <c r="P124" s="657"/>
      <c r="Q124" s="657"/>
      <c r="R124" s="657"/>
      <c r="S124" s="657"/>
      <c r="T124" s="657"/>
      <c r="U124" s="657"/>
      <c r="V124" s="657"/>
      <c r="W124" s="657"/>
      <c r="X124" s="657"/>
      <c r="Y124" s="657"/>
      <c r="Z124" s="657"/>
      <c r="AA124" s="657"/>
      <c r="AB124" s="657"/>
      <c r="AC124" s="657"/>
      <c r="AD124" s="657"/>
      <c r="AE124" s="657"/>
      <c r="AF124" s="657"/>
      <c r="AG124" s="657"/>
      <c r="AH124" s="657"/>
      <c r="AI124" s="657"/>
      <c r="AJ124" s="657"/>
      <c r="AK124" s="657"/>
      <c r="AL124" s="657"/>
      <c r="AM124" s="657"/>
    </row>
    <row r="125" spans="1:39">
      <c r="A125" s="657"/>
      <c r="B125" s="657"/>
      <c r="C125" s="657"/>
      <c r="D125" s="657"/>
      <c r="E125" s="657"/>
      <c r="F125" s="657"/>
      <c r="G125" s="657"/>
      <c r="H125" s="657"/>
      <c r="I125" s="657"/>
      <c r="J125" s="657"/>
      <c r="K125" s="657"/>
      <c r="L125" s="657"/>
      <c r="M125" s="657"/>
      <c r="N125" s="657"/>
      <c r="O125" s="657"/>
      <c r="P125" s="657"/>
      <c r="Q125" s="657"/>
      <c r="R125" s="657"/>
      <c r="S125" s="657"/>
      <c r="T125" s="657"/>
      <c r="U125" s="657"/>
      <c r="V125" s="657"/>
      <c r="W125" s="657"/>
      <c r="X125" s="657"/>
      <c r="Y125" s="657"/>
      <c r="Z125" s="657"/>
      <c r="AA125" s="657"/>
      <c r="AB125" s="657"/>
      <c r="AC125" s="657"/>
      <c r="AD125" s="657"/>
      <c r="AE125" s="657"/>
      <c r="AF125" s="657"/>
      <c r="AG125" s="657"/>
      <c r="AH125" s="657"/>
      <c r="AI125" s="657"/>
      <c r="AJ125" s="657"/>
      <c r="AK125" s="657"/>
      <c r="AL125" s="657"/>
      <c r="AM125" s="657"/>
    </row>
    <row r="126" spans="1:39">
      <c r="A126" s="657"/>
      <c r="B126" s="657"/>
      <c r="C126" s="657"/>
      <c r="D126" s="657"/>
      <c r="E126" s="657"/>
      <c r="F126" s="657"/>
      <c r="G126" s="657"/>
      <c r="H126" s="657"/>
      <c r="I126" s="657"/>
      <c r="J126" s="657"/>
      <c r="K126" s="657"/>
      <c r="L126" s="657"/>
      <c r="M126" s="657"/>
      <c r="N126" s="657"/>
      <c r="O126" s="657"/>
      <c r="P126" s="657"/>
      <c r="Q126" s="657"/>
      <c r="R126" s="657"/>
      <c r="S126" s="657"/>
      <c r="T126" s="657"/>
      <c r="U126" s="657"/>
      <c r="V126" s="657"/>
      <c r="W126" s="657"/>
      <c r="X126" s="657"/>
      <c r="Y126" s="657"/>
      <c r="Z126" s="657"/>
      <c r="AA126" s="657"/>
      <c r="AB126" s="657"/>
      <c r="AC126" s="657"/>
      <c r="AD126" s="657"/>
      <c r="AE126" s="657"/>
      <c r="AF126" s="657"/>
      <c r="AG126" s="657"/>
      <c r="AH126" s="657"/>
      <c r="AI126" s="657"/>
      <c r="AJ126" s="657"/>
      <c r="AK126" s="657"/>
      <c r="AL126" s="657"/>
      <c r="AM126" s="657"/>
    </row>
    <row r="127" spans="1:39">
      <c r="A127" s="657"/>
      <c r="B127" s="657"/>
      <c r="C127" s="657"/>
      <c r="D127" s="657"/>
      <c r="E127" s="657"/>
      <c r="F127" s="657"/>
      <c r="G127" s="657"/>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657"/>
      <c r="AL127" s="657"/>
      <c r="AM127" s="657"/>
    </row>
    <row r="128" spans="1:39">
      <c r="A128" s="657"/>
      <c r="B128" s="657"/>
      <c r="C128" s="657"/>
      <c r="D128" s="657"/>
      <c r="E128" s="657"/>
      <c r="F128" s="657"/>
      <c r="G128" s="657"/>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657"/>
      <c r="AL128" s="657"/>
      <c r="AM128" s="657"/>
    </row>
    <row r="129" spans="1:39">
      <c r="A129" s="657"/>
      <c r="B129" s="657"/>
      <c r="C129" s="657"/>
      <c r="D129" s="657"/>
      <c r="E129" s="657"/>
      <c r="F129" s="657"/>
      <c r="G129" s="657"/>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657"/>
      <c r="AL129" s="657"/>
      <c r="AM129" s="657"/>
    </row>
    <row r="130" spans="1:39">
      <c r="A130" s="657"/>
      <c r="B130" s="657"/>
      <c r="C130" s="657"/>
      <c r="D130" s="657"/>
      <c r="E130" s="657"/>
      <c r="F130" s="657"/>
      <c r="G130" s="657"/>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657"/>
      <c r="AL130" s="657"/>
      <c r="AM130" s="657"/>
    </row>
    <row r="131" spans="1:39">
      <c r="A131" s="657"/>
      <c r="B131" s="657"/>
      <c r="C131" s="657"/>
      <c r="D131" s="657"/>
      <c r="E131" s="657"/>
      <c r="F131" s="657"/>
      <c r="G131" s="657"/>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657"/>
      <c r="AL131" s="657"/>
      <c r="AM131" s="657"/>
    </row>
    <row r="132" spans="1:39">
      <c r="A132" s="657"/>
      <c r="B132" s="657"/>
      <c r="C132" s="657"/>
      <c r="D132" s="657"/>
      <c r="E132" s="657"/>
      <c r="F132" s="657"/>
      <c r="G132" s="657"/>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657"/>
      <c r="AL132" s="657"/>
      <c r="AM132" s="657"/>
    </row>
    <row r="133" spans="1:39">
      <c r="A133" s="657"/>
      <c r="B133" s="657"/>
      <c r="C133" s="657"/>
      <c r="D133" s="657"/>
      <c r="E133" s="657"/>
      <c r="F133" s="657"/>
      <c r="G133" s="657"/>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657"/>
      <c r="AL133" s="657"/>
      <c r="AM133" s="657"/>
    </row>
    <row r="134" spans="1:39">
      <c r="A134" s="657"/>
      <c r="B134" s="657"/>
      <c r="C134" s="657"/>
      <c r="D134" s="657"/>
      <c r="E134" s="657"/>
      <c r="F134" s="657"/>
      <c r="G134" s="657"/>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657"/>
      <c r="AL134" s="657"/>
      <c r="AM134" s="657"/>
    </row>
    <row r="135" spans="1:39">
      <c r="A135" s="657"/>
      <c r="B135" s="657"/>
      <c r="C135" s="657"/>
      <c r="D135" s="657"/>
      <c r="E135" s="657"/>
      <c r="F135" s="657"/>
      <c r="G135" s="657"/>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657"/>
      <c r="AL135" s="657"/>
      <c r="AM135" s="657"/>
    </row>
    <row r="136" spans="1:39">
      <c r="A136" s="657"/>
      <c r="B136" s="657"/>
      <c r="C136" s="657"/>
      <c r="D136" s="657"/>
      <c r="E136" s="657"/>
      <c r="F136" s="657"/>
      <c r="G136" s="657"/>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657"/>
      <c r="AL136" s="657"/>
      <c r="AM136" s="657"/>
    </row>
    <row r="137" spans="1:39">
      <c r="A137" s="657"/>
      <c r="B137" s="657"/>
      <c r="C137" s="657"/>
      <c r="D137" s="657"/>
      <c r="E137" s="657"/>
      <c r="F137" s="657"/>
      <c r="G137" s="657"/>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657"/>
      <c r="AL137" s="657"/>
      <c r="AM137" s="657"/>
    </row>
    <row r="138" spans="1:39">
      <c r="A138" s="657"/>
      <c r="B138" s="657"/>
      <c r="C138" s="657"/>
      <c r="D138" s="657"/>
      <c r="E138" s="657"/>
      <c r="F138" s="657"/>
      <c r="G138" s="657"/>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657"/>
      <c r="AL138" s="657"/>
      <c r="AM138" s="657"/>
    </row>
    <row r="139" spans="1:39">
      <c r="A139" s="657"/>
      <c r="B139" s="657"/>
      <c r="C139" s="657"/>
      <c r="D139" s="657"/>
      <c r="E139" s="657"/>
      <c r="F139" s="657"/>
      <c r="G139" s="657"/>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657"/>
      <c r="AL139" s="657"/>
      <c r="AM139" s="657"/>
    </row>
    <row r="140" spans="1:39">
      <c r="A140" s="657"/>
      <c r="B140" s="657"/>
      <c r="C140" s="657"/>
      <c r="D140" s="657"/>
      <c r="E140" s="657"/>
      <c r="F140" s="657"/>
      <c r="G140" s="657"/>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657"/>
      <c r="AL140" s="657"/>
      <c r="AM140" s="657"/>
    </row>
    <row r="141" spans="1:39">
      <c r="A141" s="657"/>
      <c r="B141" s="657"/>
      <c r="C141" s="657"/>
      <c r="D141" s="657"/>
      <c r="E141" s="657"/>
      <c r="F141" s="657"/>
      <c r="G141" s="657"/>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657"/>
      <c r="AL141" s="657"/>
      <c r="AM141" s="657"/>
    </row>
    <row r="142" spans="1:39">
      <c r="A142" s="657"/>
      <c r="B142" s="657"/>
      <c r="C142" s="657"/>
      <c r="D142" s="657"/>
      <c r="E142" s="657"/>
      <c r="F142" s="657"/>
      <c r="G142" s="657"/>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657"/>
      <c r="AL142" s="657"/>
      <c r="AM142" s="657"/>
    </row>
    <row r="143" spans="1:39">
      <c r="A143" s="657"/>
      <c r="B143" s="657"/>
      <c r="C143" s="657"/>
      <c r="D143" s="657"/>
      <c r="E143" s="657"/>
      <c r="F143" s="657"/>
      <c r="G143" s="657"/>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657"/>
      <c r="AL143" s="657"/>
      <c r="AM143" s="657"/>
    </row>
    <row r="144" spans="1:39">
      <c r="A144" s="657"/>
      <c r="B144" s="657"/>
      <c r="C144" s="657"/>
      <c r="D144" s="657"/>
      <c r="E144" s="657"/>
      <c r="F144" s="657"/>
      <c r="G144" s="657"/>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657"/>
      <c r="AL144" s="657"/>
      <c r="AM144" s="657"/>
    </row>
    <row r="145" spans="1:39">
      <c r="A145" s="657"/>
      <c r="B145" s="657"/>
      <c r="C145" s="657"/>
      <c r="D145" s="657"/>
      <c r="E145" s="657"/>
      <c r="F145" s="657"/>
      <c r="G145" s="657"/>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657"/>
      <c r="AL145" s="657"/>
      <c r="AM145" s="657"/>
    </row>
    <row r="146" spans="1:39">
      <c r="A146" s="657"/>
      <c r="B146" s="657"/>
      <c r="C146" s="657"/>
      <c r="D146" s="657"/>
      <c r="E146" s="657"/>
      <c r="F146" s="657"/>
      <c r="G146" s="657"/>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657"/>
      <c r="AL146" s="657"/>
      <c r="AM146" s="657"/>
    </row>
    <row r="147" spans="1:39">
      <c r="A147" s="657"/>
      <c r="B147" s="657"/>
      <c r="C147" s="657"/>
      <c r="D147" s="657"/>
      <c r="E147" s="657"/>
      <c r="F147" s="657"/>
      <c r="G147" s="657"/>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657"/>
      <c r="AL147" s="657"/>
      <c r="AM147" s="657"/>
    </row>
    <row r="148" spans="1:39">
      <c r="A148" s="657"/>
      <c r="B148" s="657"/>
      <c r="C148" s="657"/>
      <c r="D148" s="657"/>
      <c r="E148" s="657"/>
      <c r="F148" s="657"/>
      <c r="G148" s="657"/>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657"/>
      <c r="AL148" s="657"/>
      <c r="AM148" s="657"/>
    </row>
    <row r="149" spans="1:39">
      <c r="A149" s="657"/>
      <c r="B149" s="657"/>
      <c r="C149" s="657"/>
      <c r="D149" s="657"/>
      <c r="E149" s="657"/>
      <c r="F149" s="657"/>
      <c r="G149" s="657"/>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657"/>
      <c r="AL149" s="657"/>
      <c r="AM149" s="657"/>
    </row>
    <row r="150" spans="1:39">
      <c r="A150" s="657"/>
      <c r="B150" s="657"/>
      <c r="C150" s="657"/>
      <c r="D150" s="657"/>
      <c r="E150" s="657"/>
      <c r="F150" s="657"/>
      <c r="G150" s="657"/>
      <c r="H150" s="657"/>
      <c r="I150" s="657"/>
      <c r="J150" s="657"/>
      <c r="K150" s="657"/>
      <c r="L150" s="657"/>
      <c r="M150" s="657"/>
      <c r="N150" s="657"/>
      <c r="O150" s="657"/>
      <c r="P150" s="657"/>
      <c r="Q150" s="657"/>
      <c r="R150" s="657"/>
      <c r="S150" s="657"/>
      <c r="T150" s="657"/>
      <c r="U150" s="657"/>
      <c r="V150" s="657"/>
      <c r="W150" s="657"/>
      <c r="X150" s="657"/>
      <c r="Y150" s="657"/>
      <c r="Z150" s="657"/>
      <c r="AA150" s="657"/>
      <c r="AB150" s="657"/>
      <c r="AC150" s="657"/>
      <c r="AD150" s="657"/>
      <c r="AE150" s="657"/>
      <c r="AF150" s="657"/>
      <c r="AG150" s="657"/>
      <c r="AH150" s="657"/>
      <c r="AI150" s="657"/>
      <c r="AJ150" s="657"/>
      <c r="AK150" s="657"/>
      <c r="AL150" s="657"/>
      <c r="AM150" s="657"/>
    </row>
    <row r="151" spans="1:39">
      <c r="A151" s="657"/>
      <c r="B151" s="657"/>
      <c r="C151" s="657"/>
      <c r="D151" s="657"/>
      <c r="E151" s="657"/>
      <c r="F151" s="657"/>
      <c r="G151" s="657"/>
      <c r="H151" s="657"/>
      <c r="I151" s="657"/>
      <c r="J151" s="657"/>
      <c r="K151" s="657"/>
      <c r="L151" s="657"/>
      <c r="M151" s="657"/>
      <c r="N151" s="657"/>
      <c r="O151" s="657"/>
      <c r="P151" s="657"/>
      <c r="Q151" s="657"/>
      <c r="R151" s="657"/>
      <c r="S151" s="657"/>
      <c r="T151" s="657"/>
      <c r="U151" s="657"/>
      <c r="V151" s="657"/>
      <c r="W151" s="657"/>
      <c r="X151" s="657"/>
      <c r="Y151" s="657"/>
      <c r="Z151" s="657"/>
      <c r="AA151" s="657"/>
      <c r="AB151" s="657"/>
      <c r="AC151" s="657"/>
      <c r="AD151" s="657"/>
      <c r="AE151" s="657"/>
      <c r="AF151" s="657"/>
      <c r="AG151" s="657"/>
      <c r="AH151" s="657"/>
      <c r="AI151" s="657"/>
      <c r="AJ151" s="657"/>
      <c r="AK151" s="657"/>
      <c r="AL151" s="657"/>
      <c r="AM151" s="657"/>
    </row>
    <row r="152" spans="1:39">
      <c r="A152" s="657"/>
      <c r="B152" s="657"/>
      <c r="C152" s="657"/>
      <c r="D152" s="657"/>
      <c r="E152" s="657"/>
      <c r="F152" s="657"/>
      <c r="G152" s="657"/>
      <c r="H152" s="657"/>
      <c r="I152" s="657"/>
      <c r="J152" s="657"/>
      <c r="K152" s="657"/>
      <c r="L152" s="657"/>
      <c r="M152" s="657"/>
      <c r="N152" s="657"/>
      <c r="O152" s="657"/>
      <c r="P152" s="657"/>
      <c r="Q152" s="657"/>
      <c r="R152" s="657"/>
      <c r="S152" s="657"/>
      <c r="T152" s="657"/>
      <c r="U152" s="657"/>
      <c r="V152" s="657"/>
      <c r="W152" s="657"/>
      <c r="X152" s="657"/>
      <c r="Y152" s="657"/>
      <c r="Z152" s="657"/>
      <c r="AA152" s="657"/>
      <c r="AB152" s="657"/>
      <c r="AC152" s="657"/>
      <c r="AD152" s="657"/>
      <c r="AE152" s="657"/>
      <c r="AF152" s="657"/>
      <c r="AG152" s="657"/>
      <c r="AH152" s="657"/>
      <c r="AI152" s="657"/>
      <c r="AJ152" s="657"/>
      <c r="AK152" s="657"/>
      <c r="AL152" s="657"/>
      <c r="AM152" s="657"/>
    </row>
    <row r="153" spans="1:39">
      <c r="A153" s="657"/>
      <c r="B153" s="657"/>
      <c r="C153" s="657"/>
      <c r="D153" s="657"/>
      <c r="E153" s="657"/>
      <c r="F153" s="657"/>
      <c r="G153" s="657"/>
      <c r="H153" s="657"/>
      <c r="I153" s="657"/>
      <c r="J153" s="657"/>
      <c r="K153" s="657"/>
      <c r="L153" s="657"/>
      <c r="M153" s="657"/>
      <c r="N153" s="657"/>
      <c r="O153" s="657"/>
      <c r="P153" s="657"/>
      <c r="Q153" s="657"/>
      <c r="R153" s="657"/>
      <c r="S153" s="657"/>
      <c r="T153" s="657"/>
      <c r="U153" s="657"/>
      <c r="V153" s="657"/>
      <c r="W153" s="657"/>
      <c r="X153" s="657"/>
      <c r="Y153" s="657"/>
      <c r="Z153" s="657"/>
      <c r="AA153" s="657"/>
      <c r="AB153" s="657"/>
      <c r="AC153" s="657"/>
      <c r="AD153" s="657"/>
      <c r="AE153" s="657"/>
      <c r="AF153" s="657"/>
      <c r="AG153" s="657"/>
      <c r="AH153" s="657"/>
      <c r="AI153" s="657"/>
      <c r="AJ153" s="657"/>
      <c r="AK153" s="657"/>
      <c r="AL153" s="657"/>
      <c r="AM153" s="657"/>
    </row>
    <row r="154" spans="1:39">
      <c r="A154" s="657"/>
      <c r="B154" s="657"/>
      <c r="C154" s="657"/>
      <c r="D154" s="657"/>
      <c r="E154" s="657"/>
      <c r="F154" s="657"/>
      <c r="G154" s="657"/>
      <c r="H154" s="657"/>
      <c r="I154" s="657"/>
      <c r="J154" s="657"/>
      <c r="K154" s="657"/>
      <c r="L154" s="657"/>
      <c r="M154" s="657"/>
      <c r="N154" s="657"/>
      <c r="O154" s="657"/>
      <c r="P154" s="657"/>
      <c r="Q154" s="657"/>
      <c r="R154" s="657"/>
      <c r="S154" s="657"/>
      <c r="T154" s="657"/>
      <c r="U154" s="657"/>
      <c r="V154" s="657"/>
      <c r="W154" s="657"/>
      <c r="X154" s="657"/>
      <c r="Y154" s="657"/>
      <c r="Z154" s="657"/>
      <c r="AA154" s="657"/>
      <c r="AB154" s="657"/>
      <c r="AC154" s="657"/>
      <c r="AD154" s="657"/>
      <c r="AE154" s="657"/>
      <c r="AF154" s="657"/>
      <c r="AG154" s="657"/>
      <c r="AH154" s="657"/>
      <c r="AI154" s="657"/>
      <c r="AJ154" s="657"/>
      <c r="AK154" s="657"/>
      <c r="AL154" s="657"/>
      <c r="AM154" s="657"/>
    </row>
    <row r="155" spans="1:39">
      <c r="A155" s="657"/>
      <c r="B155" s="657"/>
      <c r="C155" s="657"/>
      <c r="D155" s="657"/>
      <c r="E155" s="657"/>
      <c r="F155" s="657"/>
      <c r="G155" s="657"/>
      <c r="H155" s="657"/>
      <c r="I155" s="657"/>
      <c r="J155" s="657"/>
      <c r="K155" s="657"/>
      <c r="L155" s="657"/>
      <c r="M155" s="657"/>
      <c r="N155" s="657"/>
      <c r="O155" s="657"/>
      <c r="P155" s="657"/>
      <c r="Q155" s="657"/>
      <c r="R155" s="657"/>
      <c r="S155" s="657"/>
      <c r="T155" s="657"/>
      <c r="U155" s="657"/>
      <c r="V155" s="657"/>
      <c r="W155" s="657"/>
      <c r="X155" s="657"/>
      <c r="Y155" s="657"/>
      <c r="Z155" s="657"/>
      <c r="AA155" s="657"/>
      <c r="AB155" s="657"/>
      <c r="AC155" s="657"/>
      <c r="AD155" s="657"/>
      <c r="AE155" s="657"/>
      <c r="AF155" s="657"/>
      <c r="AG155" s="657"/>
      <c r="AH155" s="657"/>
      <c r="AI155" s="657"/>
      <c r="AJ155" s="657"/>
      <c r="AK155" s="657"/>
      <c r="AL155" s="657"/>
      <c r="AM155" s="657"/>
    </row>
    <row r="156" spans="1:39">
      <c r="A156" s="657"/>
      <c r="B156" s="657"/>
      <c r="C156" s="657"/>
      <c r="D156" s="657"/>
      <c r="E156" s="657"/>
      <c r="F156" s="657"/>
      <c r="G156" s="657"/>
      <c r="H156" s="657"/>
      <c r="I156" s="657"/>
      <c r="J156" s="657"/>
      <c r="K156" s="657"/>
      <c r="L156" s="657"/>
      <c r="M156" s="657"/>
      <c r="N156" s="657"/>
      <c r="O156" s="657"/>
      <c r="P156" s="657"/>
      <c r="Q156" s="657"/>
      <c r="R156" s="657"/>
      <c r="S156" s="657"/>
      <c r="T156" s="657"/>
      <c r="U156" s="657"/>
      <c r="V156" s="657"/>
      <c r="W156" s="657"/>
      <c r="X156" s="657"/>
      <c r="Y156" s="657"/>
      <c r="Z156" s="657"/>
      <c r="AA156" s="657"/>
      <c r="AB156" s="657"/>
      <c r="AC156" s="657"/>
      <c r="AD156" s="657"/>
      <c r="AE156" s="657"/>
      <c r="AF156" s="657"/>
      <c r="AG156" s="657"/>
      <c r="AH156" s="657"/>
      <c r="AI156" s="657"/>
      <c r="AJ156" s="657"/>
      <c r="AK156" s="657"/>
      <c r="AL156" s="657"/>
      <c r="AM156" s="657"/>
    </row>
    <row r="157" spans="1:39">
      <c r="A157" s="657"/>
      <c r="B157" s="657"/>
      <c r="C157" s="657"/>
      <c r="D157" s="657"/>
      <c r="E157" s="657"/>
      <c r="F157" s="657"/>
      <c r="G157" s="657"/>
      <c r="H157" s="657"/>
      <c r="I157" s="657"/>
      <c r="J157" s="657"/>
      <c r="K157" s="657"/>
      <c r="L157" s="657"/>
      <c r="M157" s="657"/>
      <c r="N157" s="657"/>
      <c r="O157" s="657"/>
      <c r="P157" s="657"/>
      <c r="Q157" s="657"/>
      <c r="R157" s="657"/>
      <c r="S157" s="657"/>
      <c r="T157" s="657"/>
      <c r="U157" s="657"/>
      <c r="V157" s="657"/>
      <c r="W157" s="657"/>
      <c r="X157" s="657"/>
      <c r="Y157" s="657"/>
      <c r="Z157" s="657"/>
      <c r="AA157" s="657"/>
      <c r="AB157" s="657"/>
      <c r="AC157" s="657"/>
      <c r="AD157" s="657"/>
      <c r="AE157" s="657"/>
      <c r="AF157" s="657"/>
      <c r="AG157" s="657"/>
      <c r="AH157" s="657"/>
      <c r="AI157" s="657"/>
      <c r="AJ157" s="657"/>
      <c r="AK157" s="657"/>
      <c r="AL157" s="657"/>
      <c r="AM157" s="657"/>
    </row>
    <row r="158" spans="1:39">
      <c r="A158" s="657"/>
      <c r="B158" s="657"/>
      <c r="C158" s="657"/>
      <c r="D158" s="657"/>
      <c r="E158" s="657"/>
      <c r="F158" s="657"/>
      <c r="G158" s="657"/>
      <c r="H158" s="657"/>
      <c r="I158" s="657"/>
      <c r="J158" s="657"/>
      <c r="K158" s="657"/>
      <c r="L158" s="657"/>
      <c r="M158" s="657"/>
      <c r="N158" s="657"/>
      <c r="O158" s="657"/>
      <c r="P158" s="657"/>
      <c r="Q158" s="657"/>
      <c r="R158" s="657"/>
      <c r="S158" s="657"/>
      <c r="T158" s="657"/>
      <c r="U158" s="657"/>
      <c r="V158" s="657"/>
      <c r="W158" s="657"/>
      <c r="X158" s="657"/>
      <c r="Y158" s="657"/>
      <c r="Z158" s="657"/>
      <c r="AA158" s="657"/>
      <c r="AB158" s="657"/>
      <c r="AC158" s="657"/>
      <c r="AD158" s="657"/>
      <c r="AE158" s="657"/>
      <c r="AF158" s="657"/>
      <c r="AG158" s="657"/>
      <c r="AH158" s="657"/>
      <c r="AI158" s="657"/>
      <c r="AJ158" s="657"/>
      <c r="AK158" s="657"/>
      <c r="AL158" s="657"/>
      <c r="AM158" s="657"/>
    </row>
    <row r="159" spans="1:39">
      <c r="A159" s="657"/>
      <c r="B159" s="657"/>
      <c r="C159" s="657"/>
      <c r="D159" s="657"/>
      <c r="E159" s="657"/>
      <c r="F159" s="657"/>
      <c r="G159" s="657"/>
      <c r="H159" s="657"/>
      <c r="I159" s="657"/>
      <c r="J159" s="657"/>
      <c r="K159" s="657"/>
      <c r="L159" s="657"/>
      <c r="M159" s="657"/>
      <c r="N159" s="657"/>
      <c r="O159" s="657"/>
      <c r="P159" s="657"/>
      <c r="Q159" s="657"/>
      <c r="R159" s="657"/>
      <c r="S159" s="657"/>
      <c r="T159" s="657"/>
      <c r="U159" s="657"/>
      <c r="V159" s="657"/>
      <c r="W159" s="657"/>
      <c r="X159" s="657"/>
      <c r="Y159" s="657"/>
      <c r="Z159" s="657"/>
      <c r="AA159" s="657"/>
      <c r="AB159" s="657"/>
      <c r="AC159" s="657"/>
      <c r="AD159" s="657"/>
      <c r="AE159" s="657"/>
      <c r="AF159" s="657"/>
      <c r="AG159" s="657"/>
      <c r="AH159" s="657"/>
      <c r="AI159" s="657"/>
      <c r="AJ159" s="657"/>
      <c r="AK159" s="657"/>
      <c r="AL159" s="657"/>
      <c r="AM159" s="657"/>
    </row>
    <row r="160" spans="1:39">
      <c r="A160" s="657"/>
      <c r="B160" s="657"/>
      <c r="C160" s="657"/>
      <c r="D160" s="657"/>
      <c r="E160" s="657"/>
      <c r="F160" s="657"/>
      <c r="G160" s="657"/>
      <c r="H160" s="657"/>
      <c r="I160" s="657"/>
      <c r="J160" s="657"/>
      <c r="K160" s="657"/>
      <c r="L160" s="657"/>
      <c r="M160" s="657"/>
      <c r="N160" s="657"/>
      <c r="O160" s="657"/>
      <c r="P160" s="657"/>
      <c r="Q160" s="657"/>
      <c r="R160" s="657"/>
      <c r="S160" s="657"/>
      <c r="T160" s="657"/>
      <c r="U160" s="657"/>
      <c r="V160" s="657"/>
      <c r="W160" s="657"/>
      <c r="X160" s="657"/>
      <c r="Y160" s="657"/>
      <c r="Z160" s="657"/>
      <c r="AA160" s="657"/>
      <c r="AB160" s="657"/>
      <c r="AC160" s="657"/>
      <c r="AD160" s="657"/>
      <c r="AE160" s="657"/>
      <c r="AF160" s="657"/>
      <c r="AG160" s="657"/>
      <c r="AH160" s="657"/>
      <c r="AI160" s="657"/>
      <c r="AJ160" s="657"/>
      <c r="AK160" s="657"/>
      <c r="AL160" s="657"/>
      <c r="AM160" s="657"/>
    </row>
    <row r="161" spans="1:39">
      <c r="A161" s="657"/>
      <c r="B161" s="657"/>
      <c r="C161" s="657"/>
      <c r="D161" s="657"/>
      <c r="E161" s="657"/>
      <c r="F161" s="657"/>
      <c r="G161" s="657"/>
      <c r="H161" s="657"/>
      <c r="I161" s="657"/>
      <c r="J161" s="657"/>
      <c r="K161" s="657"/>
      <c r="L161" s="657"/>
      <c r="M161" s="657"/>
      <c r="N161" s="657"/>
      <c r="O161" s="657"/>
      <c r="P161" s="657"/>
      <c r="Q161" s="657"/>
      <c r="R161" s="657"/>
      <c r="S161" s="657"/>
      <c r="T161" s="657"/>
      <c r="U161" s="657"/>
      <c r="V161" s="657"/>
      <c r="W161" s="657"/>
      <c r="X161" s="657"/>
      <c r="Y161" s="657"/>
      <c r="Z161" s="657"/>
      <c r="AA161" s="657"/>
      <c r="AB161" s="657"/>
      <c r="AC161" s="657"/>
      <c r="AD161" s="657"/>
      <c r="AE161" s="657"/>
      <c r="AF161" s="657"/>
      <c r="AG161" s="657"/>
      <c r="AH161" s="657"/>
      <c r="AI161" s="657"/>
      <c r="AJ161" s="657"/>
      <c r="AK161" s="657"/>
      <c r="AL161" s="657"/>
      <c r="AM161" s="657"/>
    </row>
    <row r="162" spans="1:39">
      <c r="A162" s="657"/>
      <c r="B162" s="657"/>
      <c r="C162" s="657"/>
      <c r="D162" s="657"/>
      <c r="E162" s="657"/>
      <c r="F162" s="657"/>
      <c r="G162" s="657"/>
      <c r="H162" s="657"/>
      <c r="I162" s="657"/>
      <c r="J162" s="657"/>
      <c r="K162" s="657"/>
      <c r="L162" s="657"/>
      <c r="M162" s="657"/>
      <c r="N162" s="657"/>
      <c r="O162" s="657"/>
      <c r="P162" s="657"/>
      <c r="Q162" s="657"/>
      <c r="R162" s="657"/>
      <c r="S162" s="657"/>
      <c r="T162" s="657"/>
      <c r="U162" s="657"/>
      <c r="V162" s="657"/>
      <c r="W162" s="657"/>
      <c r="X162" s="657"/>
      <c r="Y162" s="657"/>
      <c r="Z162" s="657"/>
      <c r="AA162" s="657"/>
      <c r="AB162" s="657"/>
      <c r="AC162" s="657"/>
      <c r="AD162" s="657"/>
      <c r="AE162" s="657"/>
      <c r="AF162" s="657"/>
      <c r="AG162" s="657"/>
      <c r="AH162" s="657"/>
      <c r="AI162" s="657"/>
      <c r="AJ162" s="657"/>
      <c r="AK162" s="657"/>
      <c r="AL162" s="657"/>
      <c r="AM162" s="657"/>
    </row>
    <row r="163" spans="1:39">
      <c r="A163" s="657"/>
      <c r="B163" s="657"/>
      <c r="C163" s="657"/>
      <c r="D163" s="657"/>
      <c r="E163" s="657"/>
      <c r="F163" s="657"/>
      <c r="G163" s="657"/>
      <c r="H163" s="657"/>
      <c r="I163" s="657"/>
      <c r="J163" s="657"/>
      <c r="K163" s="657"/>
      <c r="L163" s="657"/>
      <c r="M163" s="657"/>
      <c r="N163" s="657"/>
      <c r="O163" s="657"/>
      <c r="P163" s="657"/>
      <c r="Q163" s="657"/>
      <c r="R163" s="657"/>
      <c r="S163" s="657"/>
      <c r="T163" s="657"/>
      <c r="U163" s="657"/>
      <c r="V163" s="657"/>
      <c r="W163" s="657"/>
      <c r="X163" s="657"/>
      <c r="Y163" s="657"/>
      <c r="Z163" s="657"/>
      <c r="AA163" s="657"/>
      <c r="AB163" s="657"/>
      <c r="AC163" s="657"/>
      <c r="AD163" s="657"/>
      <c r="AE163" s="657"/>
      <c r="AF163" s="657"/>
      <c r="AG163" s="657"/>
      <c r="AH163" s="657"/>
      <c r="AI163" s="657"/>
      <c r="AJ163" s="657"/>
      <c r="AK163" s="657"/>
      <c r="AL163" s="657"/>
      <c r="AM163" s="657"/>
    </row>
    <row r="164" spans="1:39">
      <c r="A164" s="657"/>
      <c r="B164" s="657"/>
      <c r="C164" s="657"/>
      <c r="D164" s="657"/>
      <c r="E164" s="657"/>
      <c r="F164" s="657"/>
      <c r="G164" s="657"/>
      <c r="H164" s="657"/>
      <c r="I164" s="657"/>
      <c r="J164" s="657"/>
      <c r="K164" s="657"/>
      <c r="L164" s="657"/>
      <c r="M164" s="657"/>
      <c r="N164" s="657"/>
      <c r="O164" s="657"/>
      <c r="P164" s="657"/>
      <c r="Q164" s="657"/>
      <c r="R164" s="657"/>
      <c r="S164" s="657"/>
      <c r="T164" s="657"/>
      <c r="U164" s="657"/>
      <c r="V164" s="657"/>
      <c r="W164" s="657"/>
      <c r="X164" s="657"/>
      <c r="Y164" s="657"/>
      <c r="Z164" s="657"/>
      <c r="AA164" s="657"/>
      <c r="AB164" s="657"/>
      <c r="AC164" s="657"/>
      <c r="AD164" s="657"/>
      <c r="AE164" s="657"/>
      <c r="AF164" s="657"/>
      <c r="AG164" s="657"/>
      <c r="AH164" s="657"/>
      <c r="AI164" s="657"/>
      <c r="AJ164" s="657"/>
      <c r="AK164" s="657"/>
      <c r="AL164" s="657"/>
      <c r="AM164" s="657"/>
    </row>
    <row r="165" spans="1:39">
      <c r="A165" s="657"/>
      <c r="B165" s="657"/>
      <c r="C165" s="657"/>
      <c r="D165" s="657"/>
      <c r="E165" s="657"/>
      <c r="F165" s="657"/>
      <c r="G165" s="657"/>
      <c r="H165" s="657"/>
      <c r="I165" s="657"/>
      <c r="J165" s="657"/>
      <c r="K165" s="657"/>
      <c r="L165" s="657"/>
      <c r="M165" s="657"/>
      <c r="N165" s="657"/>
      <c r="O165" s="657"/>
      <c r="P165" s="657"/>
      <c r="Q165" s="657"/>
      <c r="R165" s="657"/>
      <c r="S165" s="657"/>
      <c r="T165" s="657"/>
      <c r="U165" s="657"/>
      <c r="V165" s="657"/>
      <c r="W165" s="657"/>
      <c r="X165" s="657"/>
      <c r="Y165" s="657"/>
      <c r="Z165" s="657"/>
      <c r="AA165" s="657"/>
      <c r="AB165" s="657"/>
      <c r="AC165" s="657"/>
      <c r="AD165" s="657"/>
      <c r="AE165" s="657"/>
      <c r="AF165" s="657"/>
      <c r="AG165" s="657"/>
      <c r="AH165" s="657"/>
      <c r="AI165" s="657"/>
      <c r="AJ165" s="657"/>
      <c r="AK165" s="657"/>
      <c r="AL165" s="657"/>
      <c r="AM165" s="657"/>
    </row>
    <row r="166" spans="1:39">
      <c r="A166" s="657"/>
      <c r="B166" s="657"/>
      <c r="C166" s="657"/>
      <c r="D166" s="657"/>
      <c r="E166" s="657"/>
      <c r="F166" s="657"/>
      <c r="G166" s="657"/>
      <c r="H166" s="657"/>
      <c r="I166" s="657"/>
      <c r="J166" s="657"/>
      <c r="K166" s="657"/>
      <c r="L166" s="657"/>
      <c r="M166" s="657"/>
      <c r="N166" s="657"/>
      <c r="O166" s="657"/>
      <c r="P166" s="657"/>
      <c r="Q166" s="657"/>
      <c r="R166" s="657"/>
      <c r="S166" s="657"/>
      <c r="T166" s="657"/>
      <c r="U166" s="657"/>
      <c r="V166" s="657"/>
      <c r="W166" s="657"/>
      <c r="X166" s="657"/>
      <c r="Y166" s="657"/>
      <c r="Z166" s="657"/>
      <c r="AA166" s="657"/>
      <c r="AB166" s="657"/>
      <c r="AC166" s="657"/>
      <c r="AD166" s="657"/>
      <c r="AE166" s="657"/>
      <c r="AF166" s="657"/>
      <c r="AG166" s="657"/>
      <c r="AH166" s="657"/>
      <c r="AI166" s="657"/>
      <c r="AJ166" s="657"/>
      <c r="AK166" s="657"/>
      <c r="AL166" s="657"/>
      <c r="AM166" s="657"/>
    </row>
    <row r="167" spans="1:39">
      <c r="A167" s="657"/>
      <c r="B167" s="657"/>
      <c r="C167" s="657"/>
      <c r="D167" s="657"/>
      <c r="E167" s="657"/>
      <c r="F167" s="657"/>
      <c r="G167" s="657"/>
      <c r="H167" s="657"/>
      <c r="I167" s="657"/>
      <c r="J167" s="657"/>
      <c r="K167" s="657"/>
      <c r="L167" s="657"/>
      <c r="M167" s="657"/>
      <c r="N167" s="657"/>
      <c r="O167" s="657"/>
      <c r="P167" s="657"/>
      <c r="Q167" s="657"/>
      <c r="R167" s="657"/>
      <c r="S167" s="657"/>
      <c r="T167" s="657"/>
      <c r="U167" s="657"/>
      <c r="V167" s="657"/>
      <c r="W167" s="657"/>
      <c r="X167" s="657"/>
      <c r="Y167" s="657"/>
      <c r="Z167" s="657"/>
      <c r="AA167" s="657"/>
      <c r="AB167" s="657"/>
      <c r="AC167" s="657"/>
      <c r="AD167" s="657"/>
      <c r="AE167" s="657"/>
      <c r="AF167" s="657"/>
      <c r="AG167" s="657"/>
      <c r="AH167" s="657"/>
      <c r="AI167" s="657"/>
      <c r="AJ167" s="657"/>
      <c r="AK167" s="657"/>
      <c r="AL167" s="657"/>
      <c r="AM167" s="657"/>
    </row>
    <row r="168" spans="1:39">
      <c r="A168" s="657"/>
      <c r="B168" s="657"/>
      <c r="C168" s="657"/>
      <c r="D168" s="657"/>
      <c r="E168" s="657"/>
      <c r="F168" s="657"/>
      <c r="G168" s="657"/>
      <c r="H168" s="657"/>
      <c r="I168" s="657"/>
      <c r="J168" s="657"/>
      <c r="K168" s="657"/>
      <c r="L168" s="657"/>
      <c r="M168" s="657"/>
      <c r="N168" s="657"/>
      <c r="O168" s="657"/>
      <c r="P168" s="657"/>
      <c r="Q168" s="657"/>
      <c r="R168" s="657"/>
      <c r="S168" s="657"/>
      <c r="T168" s="657"/>
      <c r="U168" s="657"/>
      <c r="V168" s="657"/>
      <c r="W168" s="657"/>
      <c r="X168" s="657"/>
      <c r="Y168" s="657"/>
      <c r="Z168" s="657"/>
      <c r="AA168" s="657"/>
      <c r="AB168" s="657"/>
      <c r="AC168" s="657"/>
      <c r="AD168" s="657"/>
      <c r="AE168" s="657"/>
      <c r="AF168" s="657"/>
      <c r="AG168" s="657"/>
      <c r="AH168" s="657"/>
      <c r="AI168" s="657"/>
      <c r="AJ168" s="657"/>
      <c r="AK168" s="657"/>
      <c r="AL168" s="657"/>
      <c r="AM168" s="657"/>
    </row>
    <row r="169" spans="1:39">
      <c r="A169" s="657"/>
      <c r="B169" s="657"/>
      <c r="C169" s="657"/>
      <c r="D169" s="657"/>
      <c r="E169" s="657"/>
      <c r="F169" s="657"/>
      <c r="G169" s="657"/>
      <c r="H169" s="657"/>
      <c r="I169" s="657"/>
      <c r="J169" s="657"/>
      <c r="K169" s="657"/>
      <c r="L169" s="657"/>
      <c r="M169" s="657"/>
      <c r="N169" s="657"/>
      <c r="O169" s="657"/>
      <c r="P169" s="657"/>
      <c r="Q169" s="657"/>
      <c r="R169" s="657"/>
      <c r="S169" s="657"/>
      <c r="T169" s="657"/>
      <c r="U169" s="657"/>
      <c r="V169" s="657"/>
      <c r="W169" s="657"/>
      <c r="X169" s="657"/>
      <c r="Y169" s="657"/>
      <c r="Z169" s="657"/>
      <c r="AA169" s="657"/>
      <c r="AB169" s="657"/>
      <c r="AC169" s="657"/>
      <c r="AD169" s="657"/>
      <c r="AE169" s="657"/>
      <c r="AF169" s="657"/>
      <c r="AG169" s="657"/>
      <c r="AH169" s="657"/>
      <c r="AI169" s="657"/>
      <c r="AJ169" s="657"/>
      <c r="AK169" s="657"/>
      <c r="AL169" s="657"/>
      <c r="AM169" s="657"/>
    </row>
    <row r="170" spans="1:39">
      <c r="A170" s="657"/>
      <c r="B170" s="657"/>
      <c r="C170" s="657"/>
      <c r="D170" s="657"/>
      <c r="E170" s="657"/>
      <c r="F170" s="657"/>
      <c r="G170" s="657"/>
      <c r="H170" s="657"/>
      <c r="I170" s="657"/>
      <c r="J170" s="657"/>
      <c r="K170" s="657"/>
      <c r="L170" s="657"/>
      <c r="M170" s="657"/>
      <c r="N170" s="657"/>
      <c r="O170" s="657"/>
      <c r="P170" s="657"/>
      <c r="Q170" s="657"/>
      <c r="R170" s="657"/>
      <c r="S170" s="657"/>
      <c r="T170" s="657"/>
      <c r="U170" s="657"/>
      <c r="V170" s="657"/>
      <c r="W170" s="657"/>
      <c r="X170" s="657"/>
      <c r="Y170" s="657"/>
      <c r="Z170" s="657"/>
      <c r="AA170" s="657"/>
      <c r="AB170" s="657"/>
      <c r="AC170" s="657"/>
      <c r="AD170" s="657"/>
      <c r="AE170" s="657"/>
      <c r="AF170" s="657"/>
      <c r="AG170" s="657"/>
      <c r="AH170" s="657"/>
      <c r="AI170" s="657"/>
      <c r="AJ170" s="657"/>
      <c r="AK170" s="657"/>
      <c r="AL170" s="657"/>
      <c r="AM170" s="657"/>
    </row>
    <row r="171" spans="1:39">
      <c r="A171" s="657"/>
      <c r="B171" s="657"/>
      <c r="C171" s="657"/>
      <c r="D171" s="657"/>
      <c r="E171" s="657"/>
      <c r="F171" s="657"/>
      <c r="G171" s="657"/>
      <c r="H171" s="657"/>
      <c r="I171" s="657"/>
      <c r="J171" s="657"/>
      <c r="K171" s="657"/>
      <c r="L171" s="657"/>
      <c r="M171" s="657"/>
      <c r="N171" s="657"/>
      <c r="O171" s="657"/>
      <c r="P171" s="657"/>
      <c r="Q171" s="657"/>
      <c r="R171" s="657"/>
      <c r="S171" s="657"/>
      <c r="T171" s="657"/>
      <c r="U171" s="657"/>
      <c r="V171" s="657"/>
      <c r="W171" s="657"/>
      <c r="X171" s="657"/>
      <c r="Y171" s="657"/>
      <c r="Z171" s="657"/>
      <c r="AA171" s="657"/>
      <c r="AB171" s="657"/>
      <c r="AC171" s="657"/>
      <c r="AD171" s="657"/>
      <c r="AE171" s="657"/>
      <c r="AF171" s="657"/>
      <c r="AG171" s="657"/>
      <c r="AH171" s="657"/>
      <c r="AI171" s="657"/>
      <c r="AJ171" s="657"/>
      <c r="AK171" s="657"/>
      <c r="AL171" s="657"/>
      <c r="AM171" s="657"/>
    </row>
    <row r="172" spans="1:39">
      <c r="A172" s="657"/>
      <c r="B172" s="657"/>
      <c r="C172" s="657"/>
      <c r="D172" s="657"/>
      <c r="E172" s="657"/>
      <c r="F172" s="657"/>
      <c r="G172" s="657"/>
      <c r="H172" s="657"/>
      <c r="I172" s="657"/>
      <c r="J172" s="657"/>
      <c r="K172" s="657"/>
      <c r="L172" s="657"/>
      <c r="M172" s="657"/>
      <c r="N172" s="657"/>
      <c r="O172" s="657"/>
      <c r="P172" s="657"/>
      <c r="Q172" s="657"/>
      <c r="R172" s="657"/>
      <c r="S172" s="657"/>
      <c r="T172" s="657"/>
      <c r="U172" s="657"/>
      <c r="V172" s="657"/>
      <c r="W172" s="657"/>
      <c r="X172" s="657"/>
      <c r="Y172" s="657"/>
      <c r="Z172" s="657"/>
      <c r="AA172" s="657"/>
      <c r="AB172" s="657"/>
      <c r="AC172" s="657"/>
      <c r="AD172" s="657"/>
      <c r="AE172" s="657"/>
      <c r="AF172" s="657"/>
      <c r="AG172" s="657"/>
      <c r="AH172" s="657"/>
      <c r="AI172" s="657"/>
      <c r="AJ172" s="657"/>
      <c r="AK172" s="657"/>
      <c r="AL172" s="657"/>
      <c r="AM172" s="657"/>
    </row>
    <row r="173" spans="1:39">
      <c r="A173" s="657"/>
      <c r="B173" s="657"/>
      <c r="C173" s="657"/>
      <c r="D173" s="657"/>
      <c r="E173" s="657"/>
      <c r="F173" s="657"/>
      <c r="G173" s="657"/>
      <c r="H173" s="657"/>
      <c r="I173" s="657"/>
      <c r="J173" s="657"/>
      <c r="K173" s="657"/>
      <c r="L173" s="657"/>
      <c r="M173" s="657"/>
      <c r="N173" s="657"/>
      <c r="O173" s="657"/>
      <c r="P173" s="657"/>
      <c r="Q173" s="657"/>
      <c r="R173" s="657"/>
      <c r="S173" s="657"/>
      <c r="T173" s="657"/>
      <c r="U173" s="657"/>
      <c r="V173" s="657"/>
      <c r="W173" s="657"/>
      <c r="X173" s="657"/>
      <c r="Y173" s="657"/>
      <c r="Z173" s="657"/>
      <c r="AA173" s="657"/>
      <c r="AB173" s="657"/>
      <c r="AC173" s="657"/>
      <c r="AD173" s="657"/>
      <c r="AE173" s="657"/>
      <c r="AF173" s="657"/>
      <c r="AG173" s="657"/>
      <c r="AH173" s="657"/>
      <c r="AI173" s="657"/>
      <c r="AJ173" s="657"/>
      <c r="AK173" s="657"/>
      <c r="AL173" s="657"/>
      <c r="AM173" s="657"/>
    </row>
    <row r="174" spans="1:39">
      <c r="A174" s="657"/>
      <c r="B174" s="657"/>
      <c r="C174" s="657"/>
      <c r="D174" s="657"/>
      <c r="E174" s="657"/>
      <c r="F174" s="657"/>
      <c r="G174" s="657"/>
      <c r="H174" s="657"/>
      <c r="I174" s="657"/>
      <c r="J174" s="657"/>
      <c r="K174" s="657"/>
      <c r="L174" s="657"/>
      <c r="M174" s="657"/>
      <c r="N174" s="657"/>
      <c r="O174" s="657"/>
      <c r="P174" s="657"/>
      <c r="Q174" s="657"/>
      <c r="R174" s="657"/>
      <c r="S174" s="657"/>
      <c r="T174" s="657"/>
      <c r="U174" s="657"/>
      <c r="V174" s="657"/>
      <c r="W174" s="657"/>
      <c r="X174" s="657"/>
      <c r="Y174" s="657"/>
      <c r="Z174" s="657"/>
      <c r="AA174" s="657"/>
      <c r="AB174" s="657"/>
      <c r="AC174" s="657"/>
      <c r="AD174" s="657"/>
      <c r="AE174" s="657"/>
      <c r="AF174" s="657"/>
      <c r="AG174" s="657"/>
      <c r="AH174" s="657"/>
      <c r="AI174" s="657"/>
      <c r="AJ174" s="657"/>
      <c r="AK174" s="657"/>
      <c r="AL174" s="657"/>
      <c r="AM174" s="657"/>
    </row>
    <row r="175" spans="1:39">
      <c r="A175" s="657"/>
      <c r="B175" s="657"/>
      <c r="C175" s="657"/>
      <c r="D175" s="657"/>
      <c r="E175" s="657"/>
      <c r="F175" s="657"/>
      <c r="G175" s="657"/>
      <c r="H175" s="657"/>
      <c r="I175" s="657"/>
      <c r="J175" s="657"/>
      <c r="K175" s="657"/>
      <c r="L175" s="657"/>
      <c r="M175" s="657"/>
      <c r="N175" s="657"/>
      <c r="O175" s="657"/>
      <c r="P175" s="657"/>
      <c r="Q175" s="657"/>
      <c r="R175" s="657"/>
      <c r="S175" s="657"/>
      <c r="T175" s="657"/>
      <c r="U175" s="657"/>
      <c r="V175" s="657"/>
      <c r="W175" s="657"/>
      <c r="X175" s="657"/>
      <c r="Y175" s="657"/>
      <c r="Z175" s="657"/>
      <c r="AA175" s="657"/>
      <c r="AB175" s="657"/>
      <c r="AC175" s="657"/>
      <c r="AD175" s="657"/>
      <c r="AE175" s="657"/>
      <c r="AF175" s="657"/>
      <c r="AG175" s="657"/>
      <c r="AH175" s="657"/>
      <c r="AI175" s="657"/>
      <c r="AJ175" s="657"/>
      <c r="AK175" s="657"/>
      <c r="AL175" s="657"/>
      <c r="AM175" s="657"/>
    </row>
    <row r="176" spans="1:39">
      <c r="A176" s="657"/>
      <c r="B176" s="657"/>
      <c r="C176" s="657"/>
      <c r="D176" s="657"/>
      <c r="E176" s="657"/>
      <c r="F176" s="657"/>
      <c r="G176" s="657"/>
      <c r="H176" s="657"/>
      <c r="I176" s="657"/>
      <c r="J176" s="657"/>
      <c r="K176" s="657"/>
      <c r="L176" s="657"/>
      <c r="M176" s="657"/>
      <c r="N176" s="657"/>
      <c r="O176" s="657"/>
      <c r="P176" s="657"/>
      <c r="Q176" s="657"/>
      <c r="R176" s="657"/>
      <c r="S176" s="657"/>
      <c r="T176" s="657"/>
      <c r="U176" s="657"/>
      <c r="V176" s="657"/>
      <c r="W176" s="657"/>
      <c r="X176" s="657"/>
      <c r="Y176" s="657"/>
      <c r="Z176" s="657"/>
      <c r="AA176" s="657"/>
      <c r="AB176" s="657"/>
      <c r="AC176" s="657"/>
      <c r="AD176" s="657"/>
      <c r="AE176" s="657"/>
      <c r="AF176" s="657"/>
      <c r="AG176" s="657"/>
      <c r="AH176" s="657"/>
      <c r="AI176" s="657"/>
      <c r="AJ176" s="657"/>
      <c r="AK176" s="657"/>
      <c r="AL176" s="657"/>
      <c r="AM176" s="657"/>
    </row>
    <row r="177" spans="1:39">
      <c r="A177" s="657"/>
      <c r="B177" s="657"/>
      <c r="C177" s="657"/>
      <c r="D177" s="657"/>
      <c r="E177" s="657"/>
      <c r="F177" s="657"/>
      <c r="G177" s="657"/>
      <c r="H177" s="657"/>
      <c r="I177" s="657"/>
      <c r="J177" s="657"/>
      <c r="K177" s="657"/>
      <c r="L177" s="657"/>
      <c r="M177" s="657"/>
      <c r="N177" s="657"/>
      <c r="O177" s="657"/>
      <c r="P177" s="657"/>
      <c r="Q177" s="657"/>
      <c r="R177" s="657"/>
      <c r="S177" s="657"/>
      <c r="T177" s="657"/>
      <c r="U177" s="657"/>
      <c r="V177" s="657"/>
      <c r="W177" s="657"/>
      <c r="X177" s="657"/>
      <c r="Y177" s="657"/>
      <c r="Z177" s="657"/>
      <c r="AA177" s="657"/>
      <c r="AB177" s="657"/>
      <c r="AC177" s="657"/>
      <c r="AD177" s="657"/>
      <c r="AE177" s="657"/>
      <c r="AF177" s="657"/>
      <c r="AG177" s="657"/>
      <c r="AH177" s="657"/>
      <c r="AI177" s="657"/>
      <c r="AJ177" s="657"/>
      <c r="AK177" s="657"/>
      <c r="AL177" s="657"/>
      <c r="AM177" s="657"/>
    </row>
    <row r="178" spans="1:39">
      <c r="A178" s="657"/>
      <c r="B178" s="657"/>
      <c r="C178" s="657"/>
      <c r="D178" s="657"/>
      <c r="E178" s="657"/>
      <c r="F178" s="657"/>
      <c r="G178" s="657"/>
      <c r="H178" s="657"/>
      <c r="I178" s="657"/>
      <c r="J178" s="657"/>
      <c r="K178" s="657"/>
      <c r="L178" s="657"/>
      <c r="M178" s="657"/>
      <c r="N178" s="657"/>
      <c r="O178" s="657"/>
      <c r="P178" s="657"/>
      <c r="Q178" s="657"/>
      <c r="R178" s="657"/>
      <c r="S178" s="657"/>
      <c r="T178" s="657"/>
      <c r="U178" s="657"/>
      <c r="V178" s="657"/>
      <c r="W178" s="657"/>
      <c r="X178" s="657"/>
      <c r="Y178" s="657"/>
      <c r="Z178" s="657"/>
      <c r="AA178" s="657"/>
      <c r="AB178" s="657"/>
      <c r="AC178" s="657"/>
      <c r="AD178" s="657"/>
      <c r="AE178" s="657"/>
      <c r="AF178" s="657"/>
      <c r="AG178" s="657"/>
      <c r="AH178" s="657"/>
      <c r="AI178" s="657"/>
      <c r="AJ178" s="657"/>
      <c r="AK178" s="657"/>
      <c r="AL178" s="657"/>
      <c r="AM178" s="657"/>
    </row>
    <row r="179" spans="1:39">
      <c r="A179" s="657"/>
      <c r="B179" s="657"/>
      <c r="C179" s="657"/>
      <c r="D179" s="657"/>
      <c r="E179" s="657"/>
      <c r="F179" s="657"/>
      <c r="G179" s="657"/>
      <c r="H179" s="657"/>
      <c r="I179" s="657"/>
      <c r="J179" s="657"/>
      <c r="K179" s="657"/>
      <c r="L179" s="657"/>
      <c r="M179" s="657"/>
      <c r="N179" s="657"/>
      <c r="O179" s="657"/>
      <c r="P179" s="657"/>
      <c r="Q179" s="657"/>
      <c r="R179" s="657"/>
      <c r="S179" s="657"/>
      <c r="T179" s="657"/>
      <c r="U179" s="657"/>
      <c r="V179" s="657"/>
      <c r="W179" s="657"/>
      <c r="X179" s="657"/>
      <c r="Y179" s="657"/>
      <c r="Z179" s="657"/>
      <c r="AA179" s="657"/>
      <c r="AB179" s="657"/>
      <c r="AC179" s="657"/>
      <c r="AD179" s="657"/>
      <c r="AE179" s="657"/>
      <c r="AF179" s="657"/>
      <c r="AG179" s="657"/>
      <c r="AH179" s="657"/>
      <c r="AI179" s="657"/>
      <c r="AJ179" s="657"/>
      <c r="AK179" s="657"/>
      <c r="AL179" s="657"/>
      <c r="AM179" s="657"/>
    </row>
    <row r="180" spans="1:39">
      <c r="A180" s="657"/>
      <c r="B180" s="657"/>
      <c r="C180" s="657"/>
      <c r="D180" s="657"/>
      <c r="E180" s="657"/>
      <c r="F180" s="657"/>
      <c r="G180" s="657"/>
      <c r="H180" s="657"/>
      <c r="I180" s="657"/>
      <c r="J180" s="657"/>
      <c r="K180" s="657"/>
      <c r="L180" s="657"/>
      <c r="M180" s="657"/>
      <c r="N180" s="657"/>
      <c r="O180" s="657"/>
      <c r="P180" s="657"/>
      <c r="Q180" s="657"/>
      <c r="R180" s="657"/>
      <c r="S180" s="657"/>
      <c r="T180" s="657"/>
      <c r="U180" s="657"/>
      <c r="V180" s="657"/>
      <c r="W180" s="657"/>
      <c r="X180" s="657"/>
      <c r="Y180" s="657"/>
      <c r="Z180" s="657"/>
      <c r="AA180" s="657"/>
      <c r="AB180" s="657"/>
      <c r="AC180" s="657"/>
      <c r="AD180" s="657"/>
      <c r="AE180" s="657"/>
      <c r="AF180" s="657"/>
      <c r="AG180" s="657"/>
      <c r="AH180" s="657"/>
      <c r="AI180" s="657"/>
      <c r="AJ180" s="657"/>
      <c r="AK180" s="657"/>
      <c r="AL180" s="657"/>
      <c r="AM180" s="657"/>
    </row>
  </sheetData>
  <mergeCells count="32">
    <mergeCell ref="P3:T3"/>
    <mergeCell ref="AD4:AD6"/>
    <mergeCell ref="A4:A6"/>
    <mergeCell ref="C4:C6"/>
    <mergeCell ref="E4:E6"/>
    <mergeCell ref="B4:B6"/>
    <mergeCell ref="P4:P6"/>
    <mergeCell ref="Q4:Q6"/>
    <mergeCell ref="R4:R6"/>
    <mergeCell ref="S4:S6"/>
    <mergeCell ref="H4:H6"/>
    <mergeCell ref="J4:J6"/>
    <mergeCell ref="I4:I6"/>
    <mergeCell ref="K4:K6"/>
    <mergeCell ref="M4:M6"/>
    <mergeCell ref="L4:L6"/>
    <mergeCell ref="D27:H28"/>
    <mergeCell ref="L1:M2"/>
    <mergeCell ref="G1:H2"/>
    <mergeCell ref="AC4:AC6"/>
    <mergeCell ref="T4:T6"/>
    <mergeCell ref="Z4:Z6"/>
    <mergeCell ref="V4:V6"/>
    <mergeCell ref="W4:W6"/>
    <mergeCell ref="X4:X6"/>
    <mergeCell ref="Y4:Y6"/>
    <mergeCell ref="D4:D6"/>
    <mergeCell ref="F4:F6"/>
    <mergeCell ref="AA4:AA6"/>
    <mergeCell ref="AB4:AB6"/>
    <mergeCell ref="V3:AD3"/>
    <mergeCell ref="G4:G6"/>
  </mergeCells>
  <phoneticPr fontId="4" type="noConversion"/>
  <dataValidations count="1">
    <dataValidation type="list" allowBlank="1" showInputMessage="1" showErrorMessage="1" errorTitle="Select from pulldown list" error="Select from pulldown list" promptTitle="Dropdown List" prompt="Select bank soil type" sqref="I7:I26">
      <formula1>$V$7:$V$22</formula1>
    </dataValidation>
  </dataValidations>
  <printOptions horizontalCentered="1"/>
  <pageMargins left="0.5" right="0.5" top="0.65" bottom="0.65" header="0.3" footer="0.3"/>
  <pageSetup orientation="portrait" horizontalDpi="4294967293" r:id="rId1"/>
  <headerFooter alignWithMargins="0"/>
  <colBreaks count="1" manualBreakCount="1">
    <brk id="13" max="1048575" man="1"/>
  </colBreaks>
  <legacyDrawing r:id="rId2"/>
</worksheet>
</file>

<file path=xl/worksheets/sheet6.xml><?xml version="1.0" encoding="utf-8"?>
<worksheet xmlns="http://schemas.openxmlformats.org/spreadsheetml/2006/main" xmlns:r="http://schemas.openxmlformats.org/officeDocument/2006/relationships">
  <sheetPr codeName="Sheet11"/>
  <dimension ref="A1:AJ252"/>
  <sheetViews>
    <sheetView zoomScaleNormal="100" workbookViewId="0">
      <selection activeCell="B3" sqref="B3"/>
    </sheetView>
  </sheetViews>
  <sheetFormatPr defaultRowHeight="12.75"/>
  <cols>
    <col min="1" max="1" width="16.28515625" customWidth="1"/>
    <col min="2" max="2" width="26.28515625" style="24" bestFit="1" customWidth="1"/>
    <col min="3" max="3" width="29.5703125" style="24" bestFit="1" customWidth="1"/>
    <col min="4" max="4" width="9.42578125" style="24" customWidth="1"/>
    <col min="5" max="5" width="9.85546875" style="24" bestFit="1" customWidth="1"/>
    <col min="6" max="6" width="13.28515625" style="27" customWidth="1"/>
    <col min="7" max="7" width="23.7109375" bestFit="1" customWidth="1"/>
    <col min="8" max="8" width="30.85546875" bestFit="1" customWidth="1"/>
    <col min="9" max="9" width="9.140625" bestFit="1" customWidth="1"/>
    <col min="10" max="10" width="6.7109375" customWidth="1"/>
    <col min="11" max="11" width="9.28515625" style="24" bestFit="1" customWidth="1"/>
    <col min="12" max="12" width="9.85546875" style="24" bestFit="1" customWidth="1"/>
    <col min="13" max="13" width="8.7109375" style="24" customWidth="1"/>
    <col min="14" max="14" width="23.7109375" style="24" bestFit="1" customWidth="1"/>
    <col min="15" max="15" width="27.140625" style="24" bestFit="1" customWidth="1"/>
    <col min="16" max="16" width="9.140625" style="24" bestFit="1" customWidth="1"/>
    <col min="17" max="17" width="6.7109375" style="27" customWidth="1"/>
    <col min="18" max="18" width="9.28515625" bestFit="1" customWidth="1"/>
    <col min="19" max="19" width="9.85546875" bestFit="1" customWidth="1"/>
    <col min="20" max="20" width="9.28515625" bestFit="1" customWidth="1"/>
    <col min="21" max="21" width="23.7109375" bestFit="1" customWidth="1"/>
    <col min="22" max="22" width="27.140625" bestFit="1" customWidth="1"/>
    <col min="23" max="23" width="9.140625" bestFit="1" customWidth="1"/>
    <col min="24" max="24" width="6.7109375" customWidth="1"/>
    <col min="25" max="25" width="9.28515625" bestFit="1" customWidth="1"/>
    <col min="26" max="26" width="9.85546875" bestFit="1" customWidth="1"/>
    <col min="28" max="28" width="23.7109375" bestFit="1" customWidth="1"/>
    <col min="29" max="29" width="27.140625" bestFit="1" customWidth="1"/>
    <col min="30" max="30" width="9.140625" bestFit="1" customWidth="1"/>
    <col min="32" max="32" width="9.28515625" bestFit="1" customWidth="1"/>
    <col min="33" max="33" width="9.85546875" bestFit="1" customWidth="1"/>
    <col min="35" max="35" width="17.5703125" bestFit="1" customWidth="1"/>
    <col min="36" max="36" width="21.42578125" bestFit="1" customWidth="1"/>
    <col min="37" max="37" width="9.140625" bestFit="1" customWidth="1"/>
    <col min="42" max="42" width="17.5703125" bestFit="1" customWidth="1"/>
    <col min="43" max="43" width="21.42578125" bestFit="1" customWidth="1"/>
    <col min="44" max="44" width="9.140625" bestFit="1" customWidth="1"/>
    <col min="47" max="47" width="9.7109375" customWidth="1"/>
  </cols>
  <sheetData>
    <row r="1" spans="1:36" ht="15.75">
      <c r="A1" s="661" t="str">
        <f>'1-Cover'!A1</f>
        <v>Project Name</v>
      </c>
      <c r="B1" s="712"/>
      <c r="C1" s="712"/>
      <c r="D1" s="867" t="s">
        <v>794</v>
      </c>
      <c r="E1" s="867"/>
      <c r="F1" s="721"/>
      <c r="G1" s="710"/>
      <c r="H1" s="710"/>
      <c r="I1" s="710"/>
      <c r="J1" s="710"/>
      <c r="K1" s="712"/>
      <c r="L1" s="712"/>
      <c r="M1" s="712"/>
      <c r="N1" s="954" t="s">
        <v>172</v>
      </c>
      <c r="O1" s="955"/>
      <c r="P1" s="955"/>
      <c r="Q1" s="955"/>
      <c r="R1" s="955"/>
      <c r="S1" s="956"/>
      <c r="T1" s="710"/>
      <c r="U1" s="945" t="s">
        <v>171</v>
      </c>
      <c r="V1" s="946"/>
      <c r="W1" s="946"/>
      <c r="X1" s="946"/>
      <c r="Y1" s="946"/>
      <c r="Z1" s="947"/>
      <c r="AA1" s="710"/>
      <c r="AB1" s="948" t="s">
        <v>170</v>
      </c>
      <c r="AC1" s="949"/>
      <c r="AD1" s="949"/>
      <c r="AE1" s="949"/>
      <c r="AF1" s="949"/>
      <c r="AG1" s="950"/>
      <c r="AH1" s="710"/>
      <c r="AI1" s="710"/>
      <c r="AJ1" s="710"/>
    </row>
    <row r="2" spans="1:36" ht="16.5" thickBot="1">
      <c r="A2" s="707" t="s">
        <v>83</v>
      </c>
      <c r="B2" s="713"/>
      <c r="C2" s="713"/>
      <c r="D2" s="867"/>
      <c r="E2" s="867"/>
      <c r="F2" s="721"/>
      <c r="G2" s="710"/>
      <c r="H2" s="710"/>
      <c r="I2" s="710"/>
      <c r="J2" s="710"/>
      <c r="K2" s="712"/>
      <c r="L2" s="712"/>
      <c r="M2" s="712"/>
      <c r="N2" s="184" t="s">
        <v>85</v>
      </c>
      <c r="O2" s="185" t="s">
        <v>140</v>
      </c>
      <c r="P2" s="186" t="s">
        <v>33</v>
      </c>
      <c r="Q2" s="185" t="s">
        <v>1056</v>
      </c>
      <c r="R2" s="185" t="s">
        <v>502</v>
      </c>
      <c r="S2" s="187" t="s">
        <v>503</v>
      </c>
      <c r="T2" s="710"/>
      <c r="U2" s="184" t="s">
        <v>85</v>
      </c>
      <c r="V2" s="185" t="s">
        <v>140</v>
      </c>
      <c r="W2" s="186" t="s">
        <v>33</v>
      </c>
      <c r="X2" s="185" t="s">
        <v>1056</v>
      </c>
      <c r="Y2" s="185" t="s">
        <v>502</v>
      </c>
      <c r="Z2" s="187" t="s">
        <v>503</v>
      </c>
      <c r="AA2" s="710"/>
      <c r="AB2" s="184" t="s">
        <v>85</v>
      </c>
      <c r="AC2" s="185" t="s">
        <v>140</v>
      </c>
      <c r="AD2" s="186" t="s">
        <v>33</v>
      </c>
      <c r="AE2" s="185" t="s">
        <v>1056</v>
      </c>
      <c r="AF2" s="185" t="s">
        <v>502</v>
      </c>
      <c r="AG2" s="187" t="s">
        <v>503</v>
      </c>
      <c r="AH2" s="710"/>
      <c r="AI2" s="710"/>
      <c r="AJ2" s="710"/>
    </row>
    <row r="3" spans="1:36" ht="14.25" thickTop="1" thickBot="1">
      <c r="A3" s="677"/>
      <c r="B3" s="714"/>
      <c r="C3" s="714"/>
      <c r="D3" s="714"/>
      <c r="E3" s="710"/>
      <c r="F3" s="721"/>
      <c r="G3" s="710"/>
      <c r="H3" s="710"/>
      <c r="I3" s="710"/>
      <c r="J3" s="710"/>
      <c r="K3" s="712"/>
      <c r="L3" s="712"/>
      <c r="M3" s="712"/>
      <c r="N3" s="69" t="s">
        <v>381</v>
      </c>
      <c r="O3" s="61" t="s">
        <v>84</v>
      </c>
      <c r="P3" s="3" t="s">
        <v>30</v>
      </c>
      <c r="Q3" s="63">
        <v>0.49</v>
      </c>
      <c r="R3" s="64">
        <f t="shared" ref="R3:R34" si="0">Q3*62.4*1.12</f>
        <v>34.245120000000007</v>
      </c>
      <c r="S3" s="70">
        <v>52</v>
      </c>
      <c r="T3" s="710"/>
      <c r="U3" s="69" t="s">
        <v>381</v>
      </c>
      <c r="V3" s="61" t="s">
        <v>84</v>
      </c>
      <c r="W3" s="3" t="s">
        <v>30</v>
      </c>
      <c r="X3" s="63">
        <v>0.49</v>
      </c>
      <c r="Y3" s="64">
        <f t="shared" ref="Y3:Y34" si="1">X3*62.4*1.12</f>
        <v>34.245120000000007</v>
      </c>
      <c r="Z3" s="70">
        <v>52</v>
      </c>
      <c r="AA3" s="710"/>
      <c r="AB3" s="69" t="s">
        <v>381</v>
      </c>
      <c r="AC3" s="61" t="s">
        <v>84</v>
      </c>
      <c r="AD3" s="3" t="s">
        <v>30</v>
      </c>
      <c r="AE3" s="63">
        <v>0.49</v>
      </c>
      <c r="AF3" s="64">
        <f t="shared" ref="AF3:AF34" si="2">AE3*62.4*1.12</f>
        <v>34.245120000000007</v>
      </c>
      <c r="AG3" s="70">
        <v>52</v>
      </c>
      <c r="AH3" s="710"/>
      <c r="AI3" s="710"/>
      <c r="AJ3" s="710"/>
    </row>
    <row r="4" spans="1:36" ht="13.15" customHeight="1" thickBot="1">
      <c r="A4" s="715" t="s">
        <v>81</v>
      </c>
      <c r="B4" s="113"/>
      <c r="C4" s="720"/>
      <c r="D4" s="714"/>
      <c r="E4" s="712"/>
      <c r="F4" s="721"/>
      <c r="G4" s="710"/>
      <c r="H4" s="710"/>
      <c r="I4" s="710"/>
      <c r="J4" s="710"/>
      <c r="K4" s="712"/>
      <c r="L4" s="712"/>
      <c r="M4" s="712"/>
      <c r="N4" s="69" t="s">
        <v>382</v>
      </c>
      <c r="O4" s="61" t="s">
        <v>113</v>
      </c>
      <c r="P4" s="3" t="s">
        <v>30</v>
      </c>
      <c r="Q4" s="63">
        <v>0.57999999999999996</v>
      </c>
      <c r="R4" s="64">
        <f t="shared" si="0"/>
        <v>40.535040000000002</v>
      </c>
      <c r="S4" s="70">
        <v>50</v>
      </c>
      <c r="T4" s="710"/>
      <c r="U4" s="69" t="s">
        <v>382</v>
      </c>
      <c r="V4" s="61" t="s">
        <v>113</v>
      </c>
      <c r="W4" s="3" t="s">
        <v>30</v>
      </c>
      <c r="X4" s="63">
        <v>0.57999999999999996</v>
      </c>
      <c r="Y4" s="64">
        <f t="shared" si="1"/>
        <v>40.535040000000002</v>
      </c>
      <c r="Z4" s="70">
        <v>50</v>
      </c>
      <c r="AA4" s="710"/>
      <c r="AB4" s="69" t="s">
        <v>368</v>
      </c>
      <c r="AC4" s="61" t="s">
        <v>114</v>
      </c>
      <c r="AD4" s="3" t="s">
        <v>30</v>
      </c>
      <c r="AE4" s="63">
        <v>0.56000000000000005</v>
      </c>
      <c r="AF4" s="64">
        <f t="shared" si="2"/>
        <v>39.137280000000004</v>
      </c>
      <c r="AG4" s="70">
        <v>52</v>
      </c>
      <c r="AH4" s="710"/>
      <c r="AI4" s="710"/>
      <c r="AJ4" s="710"/>
    </row>
    <row r="5" spans="1:36" ht="13.5" thickBot="1">
      <c r="A5" s="716"/>
      <c r="B5" s="717"/>
      <c r="C5" s="718"/>
      <c r="D5" s="719"/>
      <c r="E5" s="719"/>
      <c r="F5" s="721"/>
      <c r="G5" s="710"/>
      <c r="H5" s="710"/>
      <c r="I5" s="710"/>
      <c r="J5" s="710"/>
      <c r="K5" s="712"/>
      <c r="L5" s="712"/>
      <c r="M5" s="712"/>
      <c r="N5" s="69" t="s">
        <v>368</v>
      </c>
      <c r="O5" s="61" t="s">
        <v>114</v>
      </c>
      <c r="P5" s="3" t="s">
        <v>30</v>
      </c>
      <c r="Q5" s="63">
        <v>0.56000000000000005</v>
      </c>
      <c r="R5" s="64">
        <f t="shared" si="0"/>
        <v>39.137280000000004</v>
      </c>
      <c r="S5" s="70">
        <v>52</v>
      </c>
      <c r="T5" s="710"/>
      <c r="U5" s="69" t="s">
        <v>368</v>
      </c>
      <c r="V5" s="61" t="s">
        <v>114</v>
      </c>
      <c r="W5" s="3" t="s">
        <v>30</v>
      </c>
      <c r="X5" s="63">
        <v>0.56000000000000005</v>
      </c>
      <c r="Y5" s="64">
        <f t="shared" si="1"/>
        <v>39.137280000000004</v>
      </c>
      <c r="Z5" s="70">
        <v>52</v>
      </c>
      <c r="AA5" s="710"/>
      <c r="AB5" s="69" t="s">
        <v>383</v>
      </c>
      <c r="AC5" s="61" t="s">
        <v>116</v>
      </c>
      <c r="AD5" s="3" t="s">
        <v>30</v>
      </c>
      <c r="AE5" s="63">
        <v>0.6</v>
      </c>
      <c r="AF5" s="64">
        <f t="shared" si="2"/>
        <v>41.9328</v>
      </c>
      <c r="AG5" s="70">
        <v>50</v>
      </c>
      <c r="AH5" s="710"/>
      <c r="AI5" s="710"/>
      <c r="AJ5" s="710"/>
    </row>
    <row r="6" spans="1:36" ht="19.149999999999999" customHeight="1" thickBot="1">
      <c r="A6" s="910" t="s">
        <v>195</v>
      </c>
      <c r="B6" s="934"/>
      <c r="C6" s="934"/>
      <c r="D6" s="885" t="s">
        <v>527</v>
      </c>
      <c r="E6" s="943" t="s">
        <v>528</v>
      </c>
      <c r="F6" s="710"/>
      <c r="G6" s="710"/>
      <c r="H6" s="710"/>
      <c r="I6" s="710"/>
      <c r="J6" s="710"/>
      <c r="K6" s="712"/>
      <c r="L6" s="712"/>
      <c r="M6" s="712"/>
      <c r="N6" s="69" t="s">
        <v>383</v>
      </c>
      <c r="O6" s="61" t="s">
        <v>116</v>
      </c>
      <c r="P6" s="3" t="s">
        <v>30</v>
      </c>
      <c r="Q6" s="63">
        <v>0.6</v>
      </c>
      <c r="R6" s="64">
        <f t="shared" si="0"/>
        <v>41.9328</v>
      </c>
      <c r="S6" s="70">
        <v>50</v>
      </c>
      <c r="T6" s="710"/>
      <c r="U6" s="69" t="s">
        <v>383</v>
      </c>
      <c r="V6" s="61" t="s">
        <v>116</v>
      </c>
      <c r="W6" s="3" t="s">
        <v>30</v>
      </c>
      <c r="X6" s="63">
        <v>0.6</v>
      </c>
      <c r="Y6" s="64">
        <f t="shared" si="1"/>
        <v>41.9328</v>
      </c>
      <c r="Z6" s="70">
        <v>50</v>
      </c>
      <c r="AA6" s="710"/>
      <c r="AB6" s="69" t="s">
        <v>384</v>
      </c>
      <c r="AC6" s="61" t="s">
        <v>34</v>
      </c>
      <c r="AD6" s="3" t="s">
        <v>30</v>
      </c>
      <c r="AE6" s="63">
        <v>0.39</v>
      </c>
      <c r="AF6" s="64">
        <f t="shared" si="2"/>
        <v>27.256320000000002</v>
      </c>
      <c r="AG6" s="70">
        <v>43</v>
      </c>
      <c r="AH6" s="710"/>
      <c r="AI6" s="710"/>
      <c r="AJ6" s="710"/>
    </row>
    <row r="7" spans="1:36" ht="13.5" thickBot="1">
      <c r="A7" s="181" t="s">
        <v>12</v>
      </c>
      <c r="B7" s="182" t="s">
        <v>85</v>
      </c>
      <c r="C7" s="183" t="s">
        <v>140</v>
      </c>
      <c r="D7" s="942"/>
      <c r="E7" s="944"/>
      <c r="F7" s="710"/>
      <c r="G7" s="710"/>
      <c r="H7" s="710"/>
      <c r="I7" s="710"/>
      <c r="J7" s="710"/>
      <c r="K7" s="712"/>
      <c r="L7" s="712"/>
      <c r="M7" s="712"/>
      <c r="N7" s="69" t="s">
        <v>384</v>
      </c>
      <c r="O7" s="61" t="s">
        <v>34</v>
      </c>
      <c r="P7" s="3" t="s">
        <v>30</v>
      </c>
      <c r="Q7" s="63">
        <v>0.39</v>
      </c>
      <c r="R7" s="64">
        <f t="shared" si="0"/>
        <v>27.256320000000002</v>
      </c>
      <c r="S7" s="70">
        <v>43</v>
      </c>
      <c r="T7" s="710"/>
      <c r="U7" s="69" t="s">
        <v>384</v>
      </c>
      <c r="V7" s="61" t="s">
        <v>34</v>
      </c>
      <c r="W7" s="3" t="s">
        <v>30</v>
      </c>
      <c r="X7" s="63">
        <v>0.39</v>
      </c>
      <c r="Y7" s="64">
        <f t="shared" si="1"/>
        <v>27.256320000000002</v>
      </c>
      <c r="Z7" s="70">
        <v>43</v>
      </c>
      <c r="AA7" s="710"/>
      <c r="AB7" s="69" t="s">
        <v>348</v>
      </c>
      <c r="AC7" s="61" t="s">
        <v>35</v>
      </c>
      <c r="AD7" s="3" t="s">
        <v>30</v>
      </c>
      <c r="AE7" s="63">
        <v>0.38</v>
      </c>
      <c r="AF7" s="64">
        <f t="shared" si="2"/>
        <v>26.557440000000003</v>
      </c>
      <c r="AG7" s="70">
        <v>50</v>
      </c>
      <c r="AH7" s="710"/>
      <c r="AI7" s="710"/>
      <c r="AJ7" s="710"/>
    </row>
    <row r="8" spans="1:36" ht="13.15" customHeight="1">
      <c r="A8" s="114" t="s">
        <v>177</v>
      </c>
      <c r="B8" s="247"/>
      <c r="C8" s="86" t="str">
        <f t="shared" ref="C8:C17" si="3">IF($B8="","",IF($B$4="West Coast",VLOOKUP($B8,WCTreesTable,2,0),IF($B$4="Mountain West",VLOOKUP($B8,MWTreesTable,2,0),IF($B$4="Great Plains",VLOOKUP($B8,GPTreesTable,2,0),IF($B$4="South Central",VLOOKUP($B8,SCTreesTable,2,0),IF($B$4="Upper Midwest",VLOOKUP($B8,UMWTreesTable,2,0),IF($B$4="Southeast",VLOOKUP($B8,SETreesTable,2,0),IF($B$4="New England",VLOOKUP($B8,NETreesTable,2,0),IF($B$4="Mid-Atlantic",VLOOKUP($B8,MATreesTable,2,0),"")))))))))</f>
        <v/>
      </c>
      <c r="D8" s="44" t="str">
        <f t="shared" ref="D8:D17" si="4">IF($B8="","",IF($B$4="West Coast",VLOOKUP($B8,WCTreesTable,5,0),IF($B$4="Mountain West",VLOOKUP($B8,MWTreesTable,5,0),IF($B$4="Great Plains",VLOOKUP($B8,GPTreesTable,5,0),IF($B$4="South Central",VLOOKUP($B8,SCTreesTable,5,0),IF($B$4="Upper Midwest",VLOOKUP($B8,UMWTreesTable,5,0),IF($B$4="Southeast",VLOOKUP($B8,SETreesTable,5,0),IF($B$4="New England",VLOOKUP($B8,NETreesTable,5,0),IF($B$4="Mid-Atlantic",VLOOKUP($B8,MATreesTable,5,0),"")))))))))</f>
        <v/>
      </c>
      <c r="E8" s="45" t="str">
        <f t="shared" ref="E8:E17" si="5">IF($B8="","",IF($B$4="West Coast",VLOOKUP($B8,WCTreesTable,6,0),IF($B$4="Mountain West",VLOOKUP($B8,MWTreesTable,6,0),IF($B$4="Great Plains",VLOOKUP($B8,GPTreesTable,6,0),IF($B$4="South Central",VLOOKUP($B8,SCTreesTable,6,0),IF($B$4="Upper Midwest",VLOOKUP($B8,UMWTreesTable,6,0),IF($B$4="Southeast",VLOOKUP($B8,SETreesTable,6,0),IF($B$4="New England",VLOOKUP($B8,NETreesTable,6,0),IF($B$4="Mid-Atlantic",VLOOKUP($B8,MATreesTable,6,0),"")))))))))</f>
        <v/>
      </c>
      <c r="F8" s="721"/>
      <c r="G8" s="710"/>
      <c r="H8" s="710"/>
      <c r="I8" s="710"/>
      <c r="J8" s="710"/>
      <c r="K8" s="712"/>
      <c r="L8" s="712"/>
      <c r="M8" s="712"/>
      <c r="N8" s="69" t="s">
        <v>348</v>
      </c>
      <c r="O8" s="61" t="s">
        <v>35</v>
      </c>
      <c r="P8" s="3" t="s">
        <v>30</v>
      </c>
      <c r="Q8" s="63">
        <v>0.38</v>
      </c>
      <c r="R8" s="64">
        <f t="shared" si="0"/>
        <v>26.557440000000003</v>
      </c>
      <c r="S8" s="70">
        <v>50</v>
      </c>
      <c r="T8" s="710"/>
      <c r="U8" s="69" t="s">
        <v>348</v>
      </c>
      <c r="V8" s="61" t="s">
        <v>35</v>
      </c>
      <c r="W8" s="3" t="s">
        <v>30</v>
      </c>
      <c r="X8" s="63">
        <v>0.38</v>
      </c>
      <c r="Y8" s="64">
        <f t="shared" si="1"/>
        <v>26.557440000000003</v>
      </c>
      <c r="Z8" s="70">
        <v>50</v>
      </c>
      <c r="AA8" s="710"/>
      <c r="AB8" s="69" t="s">
        <v>391</v>
      </c>
      <c r="AC8" s="61" t="s">
        <v>43</v>
      </c>
      <c r="AD8" s="3" t="s">
        <v>30</v>
      </c>
      <c r="AE8" s="63">
        <v>0.34</v>
      </c>
      <c r="AF8" s="64">
        <f t="shared" si="2"/>
        <v>23.761920000000003</v>
      </c>
      <c r="AG8" s="70">
        <v>40</v>
      </c>
      <c r="AH8" s="710"/>
      <c r="AI8" s="710"/>
      <c r="AJ8" s="710"/>
    </row>
    <row r="9" spans="1:36" ht="13.15" customHeight="1">
      <c r="A9" s="115" t="s">
        <v>178</v>
      </c>
      <c r="B9" s="248"/>
      <c r="C9" s="59" t="str">
        <f t="shared" si="3"/>
        <v/>
      </c>
      <c r="D9" s="43" t="str">
        <f t="shared" si="4"/>
        <v/>
      </c>
      <c r="E9" s="46" t="str">
        <f t="shared" si="5"/>
        <v/>
      </c>
      <c r="F9" s="721"/>
      <c r="G9" s="710"/>
      <c r="H9" s="710"/>
      <c r="I9" s="710"/>
      <c r="J9" s="712"/>
      <c r="K9" s="712"/>
      <c r="L9" s="712"/>
      <c r="M9" s="712"/>
      <c r="N9" s="69" t="s">
        <v>391</v>
      </c>
      <c r="O9" s="61" t="s">
        <v>43</v>
      </c>
      <c r="P9" s="3" t="s">
        <v>30</v>
      </c>
      <c r="Q9" s="63">
        <v>0.34</v>
      </c>
      <c r="R9" s="64">
        <f t="shared" si="0"/>
        <v>23.761920000000003</v>
      </c>
      <c r="S9" s="70">
        <v>40</v>
      </c>
      <c r="T9" s="710"/>
      <c r="U9" s="69" t="s">
        <v>391</v>
      </c>
      <c r="V9" s="61" t="s">
        <v>43</v>
      </c>
      <c r="W9" s="3" t="s">
        <v>30</v>
      </c>
      <c r="X9" s="63">
        <v>0.34</v>
      </c>
      <c r="Y9" s="64">
        <f t="shared" si="1"/>
        <v>23.761920000000003</v>
      </c>
      <c r="Z9" s="70">
        <v>40</v>
      </c>
      <c r="AA9" s="710"/>
      <c r="AB9" s="69" t="s">
        <v>385</v>
      </c>
      <c r="AC9" s="61" t="s">
        <v>36</v>
      </c>
      <c r="AD9" s="3" t="s">
        <v>30</v>
      </c>
      <c r="AE9" s="63">
        <v>0.37</v>
      </c>
      <c r="AF9" s="64">
        <f t="shared" si="2"/>
        <v>25.858560000000004</v>
      </c>
      <c r="AG9" s="70">
        <v>41</v>
      </c>
      <c r="AH9" s="710"/>
      <c r="AI9" s="710"/>
      <c r="AJ9" s="710"/>
    </row>
    <row r="10" spans="1:36" ht="13.15" customHeight="1">
      <c r="A10" s="115" t="s">
        <v>179</v>
      </c>
      <c r="B10" s="248"/>
      <c r="C10" s="59" t="str">
        <f t="shared" si="3"/>
        <v/>
      </c>
      <c r="D10" s="43" t="str">
        <f t="shared" si="4"/>
        <v/>
      </c>
      <c r="E10" s="46" t="str">
        <f t="shared" si="5"/>
        <v/>
      </c>
      <c r="F10" s="721"/>
      <c r="G10" s="710"/>
      <c r="H10" s="710"/>
      <c r="I10" s="710"/>
      <c r="J10" s="712"/>
      <c r="K10" s="712"/>
      <c r="L10" s="712"/>
      <c r="M10" s="712"/>
      <c r="N10" s="69" t="s">
        <v>385</v>
      </c>
      <c r="O10" s="61" t="s">
        <v>36</v>
      </c>
      <c r="P10" s="3" t="s">
        <v>30</v>
      </c>
      <c r="Q10" s="63">
        <v>0.37</v>
      </c>
      <c r="R10" s="64">
        <f t="shared" si="0"/>
        <v>25.858560000000004</v>
      </c>
      <c r="S10" s="70">
        <v>41</v>
      </c>
      <c r="T10" s="710"/>
      <c r="U10" s="69" t="s">
        <v>385</v>
      </c>
      <c r="V10" s="61" t="s">
        <v>36</v>
      </c>
      <c r="W10" s="3" t="s">
        <v>30</v>
      </c>
      <c r="X10" s="63">
        <v>0.37</v>
      </c>
      <c r="Y10" s="64">
        <f t="shared" si="1"/>
        <v>25.858560000000004</v>
      </c>
      <c r="Z10" s="70">
        <v>41</v>
      </c>
      <c r="AA10" s="710"/>
      <c r="AB10" s="69" t="s">
        <v>418</v>
      </c>
      <c r="AC10" s="61" t="s">
        <v>37</v>
      </c>
      <c r="AD10" s="3" t="s">
        <v>30</v>
      </c>
      <c r="AE10" s="63">
        <v>0.64</v>
      </c>
      <c r="AF10" s="64">
        <f t="shared" si="2"/>
        <v>44.728320000000004</v>
      </c>
      <c r="AG10" s="70">
        <v>54</v>
      </c>
      <c r="AH10" s="710"/>
      <c r="AI10" s="710"/>
      <c r="AJ10" s="710"/>
    </row>
    <row r="11" spans="1:36" ht="13.15" customHeight="1">
      <c r="A11" s="115" t="s">
        <v>180</v>
      </c>
      <c r="B11" s="248"/>
      <c r="C11" s="59" t="str">
        <f t="shared" si="3"/>
        <v/>
      </c>
      <c r="D11" s="43" t="str">
        <f t="shared" si="4"/>
        <v/>
      </c>
      <c r="E11" s="46" t="str">
        <f t="shared" si="5"/>
        <v/>
      </c>
      <c r="F11" s="721"/>
      <c r="G11" s="710"/>
      <c r="H11" s="710"/>
      <c r="I11" s="710"/>
      <c r="J11" s="710"/>
      <c r="K11" s="712"/>
      <c r="L11" s="712"/>
      <c r="M11" s="712"/>
      <c r="N11" s="69" t="s">
        <v>347</v>
      </c>
      <c r="O11" s="61" t="s">
        <v>39</v>
      </c>
      <c r="P11" s="3" t="s">
        <v>30</v>
      </c>
      <c r="Q11" s="63">
        <v>0.55000000000000004</v>
      </c>
      <c r="R11" s="64">
        <f t="shared" si="0"/>
        <v>38.438400000000001</v>
      </c>
      <c r="S11" s="70">
        <v>52</v>
      </c>
      <c r="T11" s="710"/>
      <c r="U11" s="69" t="s">
        <v>418</v>
      </c>
      <c r="V11" s="61" t="s">
        <v>37</v>
      </c>
      <c r="W11" s="3" t="s">
        <v>30</v>
      </c>
      <c r="X11" s="63">
        <v>0.64</v>
      </c>
      <c r="Y11" s="64">
        <f t="shared" si="1"/>
        <v>44.728320000000004</v>
      </c>
      <c r="Z11" s="70">
        <v>54</v>
      </c>
      <c r="AA11" s="710"/>
      <c r="AB11" s="69" t="s">
        <v>347</v>
      </c>
      <c r="AC11" s="61" t="s">
        <v>39</v>
      </c>
      <c r="AD11" s="3" t="s">
        <v>30</v>
      </c>
      <c r="AE11" s="63">
        <v>0.55000000000000004</v>
      </c>
      <c r="AF11" s="64">
        <f t="shared" si="2"/>
        <v>38.438400000000001</v>
      </c>
      <c r="AG11" s="70">
        <v>52</v>
      </c>
      <c r="AH11" s="710"/>
      <c r="AI11" s="710"/>
      <c r="AJ11" s="710"/>
    </row>
    <row r="12" spans="1:36" ht="13.15" customHeight="1">
      <c r="A12" s="115" t="s">
        <v>181</v>
      </c>
      <c r="B12" s="248"/>
      <c r="C12" s="59" t="str">
        <f t="shared" si="3"/>
        <v/>
      </c>
      <c r="D12" s="43" t="str">
        <f t="shared" si="4"/>
        <v/>
      </c>
      <c r="E12" s="46" t="str">
        <f t="shared" si="5"/>
        <v/>
      </c>
      <c r="F12" s="721"/>
      <c r="G12" s="710"/>
      <c r="H12" s="710"/>
      <c r="I12" s="710"/>
      <c r="J12" s="710"/>
      <c r="K12" s="712"/>
      <c r="L12" s="712"/>
      <c r="M12" s="712"/>
      <c r="N12" s="69" t="s">
        <v>386</v>
      </c>
      <c r="O12" s="61" t="s">
        <v>41</v>
      </c>
      <c r="P12" s="3" t="s">
        <v>30</v>
      </c>
      <c r="Q12" s="63">
        <v>0.62</v>
      </c>
      <c r="R12" s="64">
        <f t="shared" si="0"/>
        <v>43.330560000000006</v>
      </c>
      <c r="S12" s="70">
        <v>59</v>
      </c>
      <c r="T12" s="710"/>
      <c r="U12" s="69" t="s">
        <v>347</v>
      </c>
      <c r="V12" s="61" t="s">
        <v>39</v>
      </c>
      <c r="W12" s="3" t="s">
        <v>30</v>
      </c>
      <c r="X12" s="63">
        <v>0.55000000000000004</v>
      </c>
      <c r="Y12" s="64">
        <f t="shared" si="1"/>
        <v>38.438400000000001</v>
      </c>
      <c r="Z12" s="70">
        <v>52</v>
      </c>
      <c r="AA12" s="710"/>
      <c r="AB12" s="69" t="s">
        <v>419</v>
      </c>
      <c r="AC12" s="61" t="s">
        <v>40</v>
      </c>
      <c r="AD12" s="3" t="s">
        <v>30</v>
      </c>
      <c r="AE12" s="63">
        <v>0.65</v>
      </c>
      <c r="AF12" s="64">
        <f t="shared" si="2"/>
        <v>45.427200000000006</v>
      </c>
      <c r="AG12" s="70">
        <v>65</v>
      </c>
      <c r="AH12" s="710"/>
      <c r="AI12" s="710"/>
      <c r="AJ12" s="710"/>
    </row>
    <row r="13" spans="1:36" ht="13.15" customHeight="1">
      <c r="A13" s="115" t="s">
        <v>182</v>
      </c>
      <c r="B13" s="248"/>
      <c r="C13" s="59" t="str">
        <f t="shared" si="3"/>
        <v/>
      </c>
      <c r="D13" s="43" t="str">
        <f t="shared" si="4"/>
        <v/>
      </c>
      <c r="E13" s="46" t="str">
        <f t="shared" si="5"/>
        <v/>
      </c>
      <c r="F13" s="721"/>
      <c r="G13" s="710"/>
      <c r="H13" s="710"/>
      <c r="I13" s="710"/>
      <c r="J13" s="710"/>
      <c r="K13" s="712"/>
      <c r="L13" s="712"/>
      <c r="M13" s="712"/>
      <c r="N13" s="69" t="s">
        <v>27</v>
      </c>
      <c r="O13" s="61" t="s">
        <v>48</v>
      </c>
      <c r="P13" s="3" t="s">
        <v>30</v>
      </c>
      <c r="Q13" s="63">
        <v>0.38</v>
      </c>
      <c r="R13" s="64">
        <f t="shared" si="0"/>
        <v>26.557440000000003</v>
      </c>
      <c r="S13" s="70">
        <v>46</v>
      </c>
      <c r="T13" s="710"/>
      <c r="U13" s="69" t="s">
        <v>419</v>
      </c>
      <c r="V13" s="61" t="s">
        <v>40</v>
      </c>
      <c r="W13" s="3" t="s">
        <v>30</v>
      </c>
      <c r="X13" s="63">
        <v>0.65</v>
      </c>
      <c r="Y13" s="64">
        <f t="shared" si="1"/>
        <v>45.427200000000006</v>
      </c>
      <c r="Z13" s="70">
        <v>65</v>
      </c>
      <c r="AA13" s="710"/>
      <c r="AB13" s="69" t="s">
        <v>386</v>
      </c>
      <c r="AC13" s="61" t="s">
        <v>41</v>
      </c>
      <c r="AD13" s="3" t="s">
        <v>30</v>
      </c>
      <c r="AE13" s="63">
        <v>0.62</v>
      </c>
      <c r="AF13" s="64">
        <f t="shared" si="2"/>
        <v>43.330560000000006</v>
      </c>
      <c r="AG13" s="70">
        <v>59</v>
      </c>
      <c r="AH13" s="710"/>
      <c r="AI13" s="710"/>
      <c r="AJ13" s="710"/>
    </row>
    <row r="14" spans="1:36" ht="13.15" customHeight="1">
      <c r="A14" s="115" t="s">
        <v>183</v>
      </c>
      <c r="B14" s="248"/>
      <c r="C14" s="59" t="str">
        <f t="shared" si="3"/>
        <v/>
      </c>
      <c r="D14" s="43" t="str">
        <f t="shared" si="4"/>
        <v/>
      </c>
      <c r="E14" s="46" t="str">
        <f t="shared" si="5"/>
        <v/>
      </c>
      <c r="F14" s="721"/>
      <c r="G14" s="710"/>
      <c r="H14" s="710"/>
      <c r="I14" s="710"/>
      <c r="J14" s="710"/>
      <c r="K14" s="712"/>
      <c r="L14" s="712"/>
      <c r="M14" s="712"/>
      <c r="N14" s="69" t="s">
        <v>372</v>
      </c>
      <c r="O14" s="65" t="s">
        <v>142</v>
      </c>
      <c r="P14" s="62" t="s">
        <v>31</v>
      </c>
      <c r="Q14" s="63">
        <v>0.47</v>
      </c>
      <c r="R14" s="64">
        <f t="shared" si="0"/>
        <v>32.847360000000002</v>
      </c>
      <c r="S14" s="70">
        <v>37</v>
      </c>
      <c r="T14" s="710"/>
      <c r="U14" s="69" t="s">
        <v>386</v>
      </c>
      <c r="V14" s="61" t="s">
        <v>41</v>
      </c>
      <c r="W14" s="3" t="s">
        <v>30</v>
      </c>
      <c r="X14" s="63">
        <v>0.62</v>
      </c>
      <c r="Y14" s="64">
        <f t="shared" si="1"/>
        <v>43.330560000000006</v>
      </c>
      <c r="Z14" s="70">
        <v>59</v>
      </c>
      <c r="AA14" s="710"/>
      <c r="AB14" s="69" t="s">
        <v>27</v>
      </c>
      <c r="AC14" s="61" t="s">
        <v>48</v>
      </c>
      <c r="AD14" s="3" t="s">
        <v>30</v>
      </c>
      <c r="AE14" s="63">
        <v>0.38</v>
      </c>
      <c r="AF14" s="64">
        <f t="shared" si="2"/>
        <v>26.557440000000003</v>
      </c>
      <c r="AG14" s="70">
        <v>46</v>
      </c>
      <c r="AH14" s="710"/>
      <c r="AI14" s="710"/>
      <c r="AJ14" s="710"/>
    </row>
    <row r="15" spans="1:36" ht="13.15" customHeight="1">
      <c r="A15" s="115" t="s">
        <v>184</v>
      </c>
      <c r="B15" s="248"/>
      <c r="C15" s="59" t="str">
        <f t="shared" si="3"/>
        <v/>
      </c>
      <c r="D15" s="43" t="str">
        <f t="shared" si="4"/>
        <v/>
      </c>
      <c r="E15" s="46" t="str">
        <f t="shared" si="5"/>
        <v/>
      </c>
      <c r="F15" s="721"/>
      <c r="G15" s="710"/>
      <c r="H15" s="710"/>
      <c r="I15" s="710"/>
      <c r="J15" s="710"/>
      <c r="K15" s="712"/>
      <c r="L15" s="712"/>
      <c r="M15" s="712"/>
      <c r="N15" s="69" t="s">
        <v>373</v>
      </c>
      <c r="O15" s="65" t="s">
        <v>144</v>
      </c>
      <c r="P15" s="62" t="s">
        <v>31</v>
      </c>
      <c r="Q15" s="63">
        <v>0.31</v>
      </c>
      <c r="R15" s="64">
        <f t="shared" si="0"/>
        <v>21.665280000000003</v>
      </c>
      <c r="S15" s="70">
        <v>36</v>
      </c>
      <c r="T15" s="710"/>
      <c r="U15" s="69" t="s">
        <v>27</v>
      </c>
      <c r="V15" s="61" t="s">
        <v>48</v>
      </c>
      <c r="W15" s="3" t="s">
        <v>30</v>
      </c>
      <c r="X15" s="63">
        <v>0.38</v>
      </c>
      <c r="Y15" s="64">
        <f t="shared" si="1"/>
        <v>26.557440000000003</v>
      </c>
      <c r="Z15" s="70">
        <v>46</v>
      </c>
      <c r="AA15" s="710"/>
      <c r="AB15" s="69" t="s">
        <v>425</v>
      </c>
      <c r="AC15" s="61" t="s">
        <v>141</v>
      </c>
      <c r="AD15" s="62" t="s">
        <v>31</v>
      </c>
      <c r="AE15" s="63">
        <v>0.32</v>
      </c>
      <c r="AF15" s="64">
        <f t="shared" si="2"/>
        <v>22.364160000000002</v>
      </c>
      <c r="AG15" s="70">
        <v>36</v>
      </c>
      <c r="AH15" s="710"/>
      <c r="AI15" s="710"/>
      <c r="AJ15" s="710"/>
    </row>
    <row r="16" spans="1:36" ht="13.9" customHeight="1">
      <c r="A16" s="115" t="s">
        <v>185</v>
      </c>
      <c r="B16" s="248"/>
      <c r="C16" s="59" t="str">
        <f t="shared" si="3"/>
        <v/>
      </c>
      <c r="D16" s="43" t="str">
        <f t="shared" si="4"/>
        <v/>
      </c>
      <c r="E16" s="46" t="str">
        <f t="shared" si="5"/>
        <v/>
      </c>
      <c r="F16" s="721"/>
      <c r="G16" s="710"/>
      <c r="H16" s="710"/>
      <c r="I16" s="710"/>
      <c r="J16" s="710"/>
      <c r="K16" s="712"/>
      <c r="L16" s="712"/>
      <c r="M16" s="712"/>
      <c r="N16" s="69" t="s">
        <v>369</v>
      </c>
      <c r="O16" s="61" t="s">
        <v>49</v>
      </c>
      <c r="P16" s="3" t="s">
        <v>30</v>
      </c>
      <c r="Q16" s="63">
        <v>0.5</v>
      </c>
      <c r="R16" s="64">
        <f t="shared" si="0"/>
        <v>34.944000000000003</v>
      </c>
      <c r="S16" s="70">
        <v>45</v>
      </c>
      <c r="T16" s="710"/>
      <c r="U16" s="69" t="s">
        <v>372</v>
      </c>
      <c r="V16" s="65" t="s">
        <v>142</v>
      </c>
      <c r="W16" s="62" t="s">
        <v>31</v>
      </c>
      <c r="X16" s="63">
        <v>0.47</v>
      </c>
      <c r="Y16" s="64">
        <f t="shared" si="1"/>
        <v>32.847360000000002</v>
      </c>
      <c r="Z16" s="70">
        <v>37</v>
      </c>
      <c r="AA16" s="710"/>
      <c r="AB16" s="69" t="s">
        <v>372</v>
      </c>
      <c r="AC16" s="65" t="s">
        <v>142</v>
      </c>
      <c r="AD16" s="62" t="s">
        <v>31</v>
      </c>
      <c r="AE16" s="63">
        <v>0.47</v>
      </c>
      <c r="AF16" s="64">
        <f t="shared" si="2"/>
        <v>32.847360000000002</v>
      </c>
      <c r="AG16" s="70">
        <v>37</v>
      </c>
      <c r="AH16" s="710"/>
      <c r="AI16" s="710"/>
      <c r="AJ16" s="710"/>
    </row>
    <row r="17" spans="1:36" ht="13.5" thickBot="1">
      <c r="A17" s="116" t="s">
        <v>186</v>
      </c>
      <c r="B17" s="249"/>
      <c r="C17" s="60" t="str">
        <f t="shared" si="3"/>
        <v/>
      </c>
      <c r="D17" s="47" t="str">
        <f t="shared" si="4"/>
        <v/>
      </c>
      <c r="E17" s="48" t="str">
        <f t="shared" si="5"/>
        <v/>
      </c>
      <c r="F17" s="721"/>
      <c r="G17" s="710"/>
      <c r="H17" s="710"/>
      <c r="I17" s="710"/>
      <c r="J17" s="710"/>
      <c r="K17" s="712"/>
      <c r="L17" s="712"/>
      <c r="M17" s="712"/>
      <c r="N17" s="69" t="s">
        <v>370</v>
      </c>
      <c r="O17" s="61" t="s">
        <v>44</v>
      </c>
      <c r="P17" s="3" t="s">
        <v>30</v>
      </c>
      <c r="Q17" s="63">
        <v>0.4</v>
      </c>
      <c r="R17" s="64">
        <f t="shared" si="0"/>
        <v>27.955200000000005</v>
      </c>
      <c r="S17" s="70">
        <v>50</v>
      </c>
      <c r="T17" s="710"/>
      <c r="U17" s="69" t="s">
        <v>373</v>
      </c>
      <c r="V17" s="65" t="s">
        <v>144</v>
      </c>
      <c r="W17" s="62" t="s">
        <v>31</v>
      </c>
      <c r="X17" s="63">
        <v>0.31</v>
      </c>
      <c r="Y17" s="64">
        <f t="shared" si="1"/>
        <v>21.665280000000003</v>
      </c>
      <c r="Z17" s="70">
        <v>36</v>
      </c>
      <c r="AA17" s="710"/>
      <c r="AB17" s="69" t="s">
        <v>373</v>
      </c>
      <c r="AC17" s="65" t="s">
        <v>144</v>
      </c>
      <c r="AD17" s="62" t="s">
        <v>31</v>
      </c>
      <c r="AE17" s="63">
        <v>0.31</v>
      </c>
      <c r="AF17" s="64">
        <f t="shared" si="2"/>
        <v>21.665280000000003</v>
      </c>
      <c r="AG17" s="70">
        <v>36</v>
      </c>
      <c r="AH17" s="710"/>
      <c r="AI17" s="710"/>
      <c r="AJ17" s="710"/>
    </row>
    <row r="18" spans="1:36">
      <c r="A18" s="935" t="s">
        <v>885</v>
      </c>
      <c r="B18" s="936"/>
      <c r="C18" s="937"/>
      <c r="D18" s="937"/>
      <c r="E18" s="937"/>
      <c r="F18" s="721"/>
      <c r="G18" s="710"/>
      <c r="H18" s="710"/>
      <c r="I18" s="710"/>
      <c r="J18" s="710"/>
      <c r="K18" s="712"/>
      <c r="L18" s="712"/>
      <c r="M18" s="712"/>
      <c r="N18" s="69" t="s">
        <v>387</v>
      </c>
      <c r="O18" s="61" t="s">
        <v>58</v>
      </c>
      <c r="P18" s="3" t="s">
        <v>30</v>
      </c>
      <c r="Q18" s="63">
        <v>0.5</v>
      </c>
      <c r="R18" s="64">
        <f t="shared" si="0"/>
        <v>34.944000000000003</v>
      </c>
      <c r="S18" s="70">
        <v>56</v>
      </c>
      <c r="T18" s="710"/>
      <c r="U18" s="69" t="s">
        <v>369</v>
      </c>
      <c r="V18" s="61" t="s">
        <v>49</v>
      </c>
      <c r="W18" s="3" t="s">
        <v>30</v>
      </c>
      <c r="X18" s="63">
        <v>0.5</v>
      </c>
      <c r="Y18" s="64">
        <f t="shared" si="1"/>
        <v>34.944000000000003</v>
      </c>
      <c r="Z18" s="70">
        <v>45</v>
      </c>
      <c r="AA18" s="710"/>
      <c r="AB18" s="69" t="s">
        <v>369</v>
      </c>
      <c r="AC18" s="61" t="s">
        <v>49</v>
      </c>
      <c r="AD18" s="3" t="s">
        <v>30</v>
      </c>
      <c r="AE18" s="63">
        <v>0.5</v>
      </c>
      <c r="AF18" s="64">
        <f t="shared" si="2"/>
        <v>34.944000000000003</v>
      </c>
      <c r="AG18" s="70">
        <v>45</v>
      </c>
      <c r="AH18" s="710"/>
      <c r="AI18" s="710"/>
      <c r="AJ18" s="710"/>
    </row>
    <row r="19" spans="1:36" ht="15" customHeight="1">
      <c r="A19" s="827"/>
      <c r="B19" s="827"/>
      <c r="C19" s="827"/>
      <c r="D19" s="827"/>
      <c r="E19" s="827"/>
      <c r="F19" s="722"/>
      <c r="G19" s="710"/>
      <c r="H19" s="710"/>
      <c r="I19" s="710"/>
      <c r="J19" s="710"/>
      <c r="K19" s="712"/>
      <c r="L19" s="712"/>
      <c r="M19" s="712"/>
      <c r="N19" s="69" t="s">
        <v>388</v>
      </c>
      <c r="O19" s="61" t="s">
        <v>86</v>
      </c>
      <c r="P19" s="3" t="s">
        <v>30</v>
      </c>
      <c r="Q19" s="63">
        <v>0.63</v>
      </c>
      <c r="R19" s="64">
        <f t="shared" si="0"/>
        <v>44.029440000000001</v>
      </c>
      <c r="S19" s="70">
        <v>54</v>
      </c>
      <c r="T19" s="710"/>
      <c r="U19" s="69" t="s">
        <v>420</v>
      </c>
      <c r="V19" s="61" t="s">
        <v>50</v>
      </c>
      <c r="W19" s="3" t="s">
        <v>30</v>
      </c>
      <c r="X19" s="63">
        <v>0.43</v>
      </c>
      <c r="Y19" s="64">
        <f t="shared" si="1"/>
        <v>30.051840000000002</v>
      </c>
      <c r="Z19" s="70">
        <v>55</v>
      </c>
      <c r="AA19" s="710"/>
      <c r="AB19" s="69" t="s">
        <v>420</v>
      </c>
      <c r="AC19" s="61" t="s">
        <v>50</v>
      </c>
      <c r="AD19" s="3" t="s">
        <v>30</v>
      </c>
      <c r="AE19" s="63">
        <v>0.43</v>
      </c>
      <c r="AF19" s="64">
        <f t="shared" si="2"/>
        <v>30.051840000000002</v>
      </c>
      <c r="AG19" s="70">
        <v>55</v>
      </c>
      <c r="AH19" s="710"/>
      <c r="AI19" s="710"/>
      <c r="AJ19" s="710"/>
    </row>
    <row r="20" spans="1:36">
      <c r="A20" s="827"/>
      <c r="B20" s="827"/>
      <c r="C20" s="827"/>
      <c r="D20" s="827"/>
      <c r="E20" s="827"/>
      <c r="F20" s="697"/>
      <c r="G20" s="710"/>
      <c r="H20" s="710"/>
      <c r="I20" s="710"/>
      <c r="J20" s="710"/>
      <c r="K20" s="712"/>
      <c r="L20" s="712"/>
      <c r="M20" s="712"/>
      <c r="N20" s="69" t="s">
        <v>389</v>
      </c>
      <c r="O20" s="61" t="s">
        <v>87</v>
      </c>
      <c r="P20" s="3" t="s">
        <v>30</v>
      </c>
      <c r="Q20" s="63">
        <v>0.53</v>
      </c>
      <c r="R20" s="64">
        <f t="shared" si="0"/>
        <v>37.040640000000003</v>
      </c>
      <c r="S20" s="70">
        <v>53</v>
      </c>
      <c r="T20" s="710"/>
      <c r="U20" s="69" t="s">
        <v>370</v>
      </c>
      <c r="V20" s="61" t="s">
        <v>44</v>
      </c>
      <c r="W20" s="3" t="s">
        <v>30</v>
      </c>
      <c r="X20" s="63">
        <v>0.4</v>
      </c>
      <c r="Y20" s="64">
        <f t="shared" si="1"/>
        <v>27.955200000000005</v>
      </c>
      <c r="Z20" s="70">
        <v>50</v>
      </c>
      <c r="AA20" s="710"/>
      <c r="AB20" s="69" t="s">
        <v>370</v>
      </c>
      <c r="AC20" s="61" t="s">
        <v>44</v>
      </c>
      <c r="AD20" s="3" t="s">
        <v>30</v>
      </c>
      <c r="AE20" s="63">
        <v>0.4</v>
      </c>
      <c r="AF20" s="64">
        <f t="shared" si="2"/>
        <v>27.955200000000005</v>
      </c>
      <c r="AG20" s="70">
        <v>50</v>
      </c>
      <c r="AH20" s="710"/>
      <c r="AI20" s="710"/>
      <c r="AJ20" s="710"/>
    </row>
    <row r="21" spans="1:36">
      <c r="A21" s="938" t="s">
        <v>886</v>
      </c>
      <c r="B21" s="827"/>
      <c r="C21" s="827"/>
      <c r="D21" s="827"/>
      <c r="E21" s="827"/>
      <c r="F21" s="697"/>
      <c r="G21" s="710"/>
      <c r="H21" s="710"/>
      <c r="I21" s="710"/>
      <c r="J21" s="710"/>
      <c r="K21" s="712"/>
      <c r="L21" s="712"/>
      <c r="M21" s="712"/>
      <c r="N21" s="69" t="s">
        <v>374</v>
      </c>
      <c r="O21" s="61" t="s">
        <v>146</v>
      </c>
      <c r="P21" s="62" t="s">
        <v>31</v>
      </c>
      <c r="Q21" s="63">
        <v>0.35</v>
      </c>
      <c r="R21" s="64">
        <f t="shared" si="0"/>
        <v>24.460800000000003</v>
      </c>
      <c r="S21" s="70">
        <v>45</v>
      </c>
      <c r="T21" s="710"/>
      <c r="U21" s="69" t="s">
        <v>433</v>
      </c>
      <c r="V21" s="61" t="s">
        <v>100</v>
      </c>
      <c r="W21" s="3" t="s">
        <v>30</v>
      </c>
      <c r="X21" s="63">
        <v>0.48</v>
      </c>
      <c r="Y21" s="64">
        <f t="shared" si="1"/>
        <v>33.546240000000004</v>
      </c>
      <c r="Z21" s="70">
        <v>48</v>
      </c>
      <c r="AA21" s="710"/>
      <c r="AB21" s="69" t="s">
        <v>433</v>
      </c>
      <c r="AC21" s="61" t="s">
        <v>100</v>
      </c>
      <c r="AD21" s="3" t="s">
        <v>30</v>
      </c>
      <c r="AE21" s="63">
        <v>0.48</v>
      </c>
      <c r="AF21" s="64">
        <f t="shared" si="2"/>
        <v>33.546240000000004</v>
      </c>
      <c r="AG21" s="70">
        <v>48</v>
      </c>
      <c r="AH21" s="710"/>
      <c r="AI21" s="710"/>
      <c r="AJ21" s="710"/>
    </row>
    <row r="22" spans="1:36">
      <c r="A22" s="827"/>
      <c r="B22" s="827"/>
      <c r="C22" s="827"/>
      <c r="D22" s="827"/>
      <c r="E22" s="827"/>
      <c r="F22" s="697"/>
      <c r="G22" s="710"/>
      <c r="H22" s="710"/>
      <c r="I22" s="710"/>
      <c r="J22" s="710"/>
      <c r="K22" s="712"/>
      <c r="L22" s="712"/>
      <c r="M22" s="712"/>
      <c r="N22" s="69" t="s">
        <v>26</v>
      </c>
      <c r="O22" s="61" t="s">
        <v>88</v>
      </c>
      <c r="P22" s="3" t="s">
        <v>30</v>
      </c>
      <c r="Q22" s="63">
        <v>0.53</v>
      </c>
      <c r="R22" s="64">
        <f t="shared" si="0"/>
        <v>37.040640000000003</v>
      </c>
      <c r="S22" s="70">
        <v>50</v>
      </c>
      <c r="T22" s="710"/>
      <c r="U22" s="69" t="s">
        <v>387</v>
      </c>
      <c r="V22" s="61" t="s">
        <v>58</v>
      </c>
      <c r="W22" s="3" t="s">
        <v>30</v>
      </c>
      <c r="X22" s="63">
        <v>0.5</v>
      </c>
      <c r="Y22" s="64">
        <f t="shared" si="1"/>
        <v>34.944000000000003</v>
      </c>
      <c r="Z22" s="70">
        <v>56</v>
      </c>
      <c r="AA22" s="710"/>
      <c r="AB22" s="69" t="s">
        <v>387</v>
      </c>
      <c r="AC22" s="61" t="s">
        <v>58</v>
      </c>
      <c r="AD22" s="3" t="s">
        <v>30</v>
      </c>
      <c r="AE22" s="63">
        <v>0.5</v>
      </c>
      <c r="AF22" s="64">
        <f t="shared" si="2"/>
        <v>34.944000000000003</v>
      </c>
      <c r="AG22" s="70">
        <v>56</v>
      </c>
      <c r="AH22" s="710"/>
      <c r="AI22" s="710"/>
      <c r="AJ22" s="710"/>
    </row>
    <row r="23" spans="1:36">
      <c r="A23" s="827"/>
      <c r="B23" s="827"/>
      <c r="C23" s="827"/>
      <c r="D23" s="827"/>
      <c r="E23" s="827"/>
      <c r="F23" s="721"/>
      <c r="G23" s="710"/>
      <c r="H23" s="710"/>
      <c r="I23" s="710"/>
      <c r="J23" s="710"/>
      <c r="K23" s="712"/>
      <c r="L23" s="712"/>
      <c r="M23" s="712"/>
      <c r="N23" s="69" t="s">
        <v>390</v>
      </c>
      <c r="O23" s="61" t="s">
        <v>89</v>
      </c>
      <c r="P23" s="3" t="s">
        <v>30</v>
      </c>
      <c r="Q23" s="63">
        <v>0.66</v>
      </c>
      <c r="R23" s="64">
        <f t="shared" si="0"/>
        <v>46.126080000000002</v>
      </c>
      <c r="S23" s="70">
        <v>64</v>
      </c>
      <c r="T23" s="710"/>
      <c r="U23" s="69" t="s">
        <v>388</v>
      </c>
      <c r="V23" s="61" t="s">
        <v>86</v>
      </c>
      <c r="W23" s="3" t="s">
        <v>30</v>
      </c>
      <c r="X23" s="63">
        <v>0.63</v>
      </c>
      <c r="Y23" s="64">
        <f t="shared" si="1"/>
        <v>44.029440000000001</v>
      </c>
      <c r="Z23" s="70">
        <v>54</v>
      </c>
      <c r="AA23" s="710"/>
      <c r="AB23" s="69" t="s">
        <v>388</v>
      </c>
      <c r="AC23" s="61" t="s">
        <v>86</v>
      </c>
      <c r="AD23" s="3" t="s">
        <v>30</v>
      </c>
      <c r="AE23" s="63">
        <v>0.63</v>
      </c>
      <c r="AF23" s="64">
        <f t="shared" si="2"/>
        <v>44.029440000000001</v>
      </c>
      <c r="AG23" s="70">
        <v>54</v>
      </c>
      <c r="AH23" s="710"/>
      <c r="AI23" s="710"/>
      <c r="AJ23" s="710"/>
    </row>
    <row r="24" spans="1:36">
      <c r="A24" s="827"/>
      <c r="B24" s="827"/>
      <c r="C24" s="827"/>
      <c r="D24" s="827"/>
      <c r="E24" s="827"/>
      <c r="F24" s="721"/>
      <c r="G24" s="710"/>
      <c r="H24" s="710"/>
      <c r="I24" s="710"/>
      <c r="J24" s="710"/>
      <c r="K24" s="712"/>
      <c r="L24" s="712"/>
      <c r="M24" s="712"/>
      <c r="N24" s="69" t="s">
        <v>393</v>
      </c>
      <c r="O24" s="61" t="s">
        <v>93</v>
      </c>
      <c r="P24" s="3" t="s">
        <v>30</v>
      </c>
      <c r="Q24" s="63">
        <v>0.72</v>
      </c>
      <c r="R24" s="64">
        <f t="shared" si="0"/>
        <v>50.319360000000003</v>
      </c>
      <c r="S24" s="70">
        <v>65</v>
      </c>
      <c r="T24" s="710"/>
      <c r="U24" s="69" t="s">
        <v>389</v>
      </c>
      <c r="V24" s="61" t="s">
        <v>87</v>
      </c>
      <c r="W24" s="3" t="s">
        <v>30</v>
      </c>
      <c r="X24" s="63">
        <v>0.53</v>
      </c>
      <c r="Y24" s="64">
        <f t="shared" si="1"/>
        <v>37.040640000000003</v>
      </c>
      <c r="Z24" s="70">
        <v>53</v>
      </c>
      <c r="AA24" s="710"/>
      <c r="AB24" s="69" t="s">
        <v>389</v>
      </c>
      <c r="AC24" s="61" t="s">
        <v>87</v>
      </c>
      <c r="AD24" s="3" t="s">
        <v>30</v>
      </c>
      <c r="AE24" s="63">
        <v>0.53</v>
      </c>
      <c r="AF24" s="64">
        <f t="shared" si="2"/>
        <v>37.040640000000003</v>
      </c>
      <c r="AG24" s="70">
        <v>53</v>
      </c>
      <c r="AH24" s="710"/>
      <c r="AI24" s="710"/>
      <c r="AJ24" s="710"/>
    </row>
    <row r="25" spans="1:36" ht="13.5" thickBot="1">
      <c r="A25" s="827"/>
      <c r="B25" s="827"/>
      <c r="C25" s="827"/>
      <c r="D25" s="827"/>
      <c r="E25" s="827"/>
      <c r="F25" s="721"/>
      <c r="G25" s="710"/>
      <c r="H25" s="710"/>
      <c r="I25" s="710"/>
      <c r="J25" s="710"/>
      <c r="K25" s="712"/>
      <c r="L25" s="712"/>
      <c r="M25" s="712"/>
      <c r="N25" s="69" t="s">
        <v>394</v>
      </c>
      <c r="O25" s="61" t="s">
        <v>94</v>
      </c>
      <c r="P25" s="3" t="s">
        <v>30</v>
      </c>
      <c r="Q25" s="63">
        <v>0.75</v>
      </c>
      <c r="R25" s="64">
        <f t="shared" si="0"/>
        <v>52.416000000000004</v>
      </c>
      <c r="S25" s="70">
        <v>68</v>
      </c>
      <c r="T25" s="710"/>
      <c r="U25" s="69" t="s">
        <v>374</v>
      </c>
      <c r="V25" s="61" t="s">
        <v>146</v>
      </c>
      <c r="W25" s="62" t="s">
        <v>31</v>
      </c>
      <c r="X25" s="63">
        <v>0.35</v>
      </c>
      <c r="Y25" s="64">
        <f t="shared" si="1"/>
        <v>24.460800000000003</v>
      </c>
      <c r="Z25" s="70">
        <v>45</v>
      </c>
      <c r="AA25" s="710"/>
      <c r="AB25" s="69" t="s">
        <v>374</v>
      </c>
      <c r="AC25" s="61" t="s">
        <v>146</v>
      </c>
      <c r="AD25" s="62" t="s">
        <v>31</v>
      </c>
      <c r="AE25" s="63">
        <v>0.35</v>
      </c>
      <c r="AF25" s="64">
        <f t="shared" si="2"/>
        <v>24.460800000000003</v>
      </c>
      <c r="AG25" s="70">
        <v>45</v>
      </c>
      <c r="AH25" s="710"/>
      <c r="AI25" s="710"/>
      <c r="AJ25" s="710"/>
    </row>
    <row r="26" spans="1:36">
      <c r="A26" s="723"/>
      <c r="B26" s="723"/>
      <c r="C26" s="723"/>
      <c r="D26" s="723"/>
      <c r="E26" s="723"/>
      <c r="F26" s="721"/>
      <c r="G26" s="939" t="s">
        <v>176</v>
      </c>
      <c r="H26" s="940"/>
      <c r="I26" s="940"/>
      <c r="J26" s="940"/>
      <c r="K26" s="940"/>
      <c r="L26" s="941"/>
      <c r="M26" s="712"/>
      <c r="N26" s="69" t="s">
        <v>395</v>
      </c>
      <c r="O26" s="61" t="s">
        <v>95</v>
      </c>
      <c r="P26" s="3" t="s">
        <v>30</v>
      </c>
      <c r="Q26" s="63">
        <v>0.72</v>
      </c>
      <c r="R26" s="64">
        <f t="shared" si="0"/>
        <v>50.319360000000003</v>
      </c>
      <c r="S26" s="70">
        <v>64</v>
      </c>
      <c r="T26" s="710"/>
      <c r="U26" s="69" t="s">
        <v>26</v>
      </c>
      <c r="V26" s="61" t="s">
        <v>88</v>
      </c>
      <c r="W26" s="3" t="s">
        <v>30</v>
      </c>
      <c r="X26" s="63">
        <v>0.53</v>
      </c>
      <c r="Y26" s="64">
        <f t="shared" si="1"/>
        <v>37.040640000000003</v>
      </c>
      <c r="Z26" s="70">
        <v>50</v>
      </c>
      <c r="AA26" s="710"/>
      <c r="AB26" s="69" t="s">
        <v>26</v>
      </c>
      <c r="AC26" s="61" t="s">
        <v>88</v>
      </c>
      <c r="AD26" s="3" t="s">
        <v>30</v>
      </c>
      <c r="AE26" s="63">
        <v>0.53</v>
      </c>
      <c r="AF26" s="64">
        <f t="shared" si="2"/>
        <v>37.040640000000003</v>
      </c>
      <c r="AG26" s="70">
        <v>50</v>
      </c>
      <c r="AH26" s="710"/>
      <c r="AI26" s="710"/>
      <c r="AJ26" s="710"/>
    </row>
    <row r="27" spans="1:36" ht="15.75" thickBot="1">
      <c r="A27" s="724" t="s">
        <v>196</v>
      </c>
      <c r="B27" s="658"/>
      <c r="C27" s="658"/>
      <c r="D27" s="658"/>
      <c r="E27" s="680"/>
      <c r="F27" s="721"/>
      <c r="G27" s="184" t="s">
        <v>85</v>
      </c>
      <c r="H27" s="185" t="s">
        <v>140</v>
      </c>
      <c r="I27" s="186" t="s">
        <v>33</v>
      </c>
      <c r="J27" s="185" t="s">
        <v>1056</v>
      </c>
      <c r="K27" s="185" t="s">
        <v>502</v>
      </c>
      <c r="L27" s="187" t="s">
        <v>503</v>
      </c>
      <c r="M27" s="729"/>
      <c r="N27" s="69" t="s">
        <v>396</v>
      </c>
      <c r="O27" s="61" t="s">
        <v>96</v>
      </c>
      <c r="P27" s="3" t="s">
        <v>30</v>
      </c>
      <c r="Q27" s="63">
        <v>0.69</v>
      </c>
      <c r="R27" s="64">
        <f t="shared" si="0"/>
        <v>48.222720000000002</v>
      </c>
      <c r="S27" s="70">
        <v>64</v>
      </c>
      <c r="T27" s="710"/>
      <c r="U27" s="69" t="s">
        <v>415</v>
      </c>
      <c r="V27" s="65" t="s">
        <v>138</v>
      </c>
      <c r="W27" s="62" t="s">
        <v>31</v>
      </c>
      <c r="X27" s="63">
        <v>0.4</v>
      </c>
      <c r="Y27" s="64">
        <f t="shared" si="1"/>
        <v>27.955200000000005</v>
      </c>
      <c r="Z27" s="70">
        <v>50</v>
      </c>
      <c r="AA27" s="710"/>
      <c r="AB27" s="69" t="s">
        <v>415</v>
      </c>
      <c r="AC27" s="65" t="s">
        <v>138</v>
      </c>
      <c r="AD27" s="62" t="s">
        <v>31</v>
      </c>
      <c r="AE27" s="63">
        <v>0.4</v>
      </c>
      <c r="AF27" s="64">
        <f t="shared" si="2"/>
        <v>27.955200000000005</v>
      </c>
      <c r="AG27" s="70">
        <v>50</v>
      </c>
      <c r="AH27" s="710"/>
      <c r="AI27" s="710"/>
      <c r="AJ27" s="710"/>
    </row>
    <row r="28" spans="1:36" ht="13.5" thickTop="1">
      <c r="A28" s="828" t="s">
        <v>192</v>
      </c>
      <c r="B28" s="828"/>
      <c r="C28" s="828"/>
      <c r="D28" s="828"/>
      <c r="E28" s="828"/>
      <c r="F28" s="721"/>
      <c r="G28" s="69" t="s">
        <v>350</v>
      </c>
      <c r="H28" s="61" t="s">
        <v>82</v>
      </c>
      <c r="I28" s="3" t="s">
        <v>30</v>
      </c>
      <c r="J28" s="63">
        <v>0.41</v>
      </c>
      <c r="K28" s="64">
        <f t="shared" ref="K28:K58" si="6">J28*62.4*1.12</f>
        <v>28.654080000000004</v>
      </c>
      <c r="L28" s="70">
        <v>46</v>
      </c>
      <c r="M28" s="712"/>
      <c r="N28" s="69" t="s">
        <v>97</v>
      </c>
      <c r="O28" s="61" t="s">
        <v>98</v>
      </c>
      <c r="P28" s="3" t="s">
        <v>30</v>
      </c>
      <c r="Q28" s="63">
        <v>0.65</v>
      </c>
      <c r="R28" s="64">
        <f t="shared" si="0"/>
        <v>45.427200000000006</v>
      </c>
      <c r="S28" s="70">
        <v>60</v>
      </c>
      <c r="T28" s="710"/>
      <c r="U28" s="69" t="s">
        <v>390</v>
      </c>
      <c r="V28" s="61" t="s">
        <v>89</v>
      </c>
      <c r="W28" s="3" t="s">
        <v>30</v>
      </c>
      <c r="X28" s="63">
        <v>0.66</v>
      </c>
      <c r="Y28" s="64">
        <f t="shared" si="1"/>
        <v>46.126080000000002</v>
      </c>
      <c r="Z28" s="70">
        <v>64</v>
      </c>
      <c r="AA28" s="710"/>
      <c r="AB28" s="69" t="s">
        <v>390</v>
      </c>
      <c r="AC28" s="61" t="s">
        <v>89</v>
      </c>
      <c r="AD28" s="3" t="s">
        <v>30</v>
      </c>
      <c r="AE28" s="63">
        <v>0.66</v>
      </c>
      <c r="AF28" s="64">
        <f t="shared" si="2"/>
        <v>46.126080000000002</v>
      </c>
      <c r="AG28" s="70">
        <v>64</v>
      </c>
      <c r="AH28" s="710"/>
      <c r="AI28" s="710"/>
      <c r="AJ28" s="710"/>
    </row>
    <row r="29" spans="1:36">
      <c r="A29" s="828"/>
      <c r="B29" s="828"/>
      <c r="C29" s="828"/>
      <c r="D29" s="828"/>
      <c r="E29" s="828"/>
      <c r="F29" s="721"/>
      <c r="G29" s="69" t="s">
        <v>349</v>
      </c>
      <c r="H29" s="61" t="s">
        <v>115</v>
      </c>
      <c r="I29" s="3" t="s">
        <v>30</v>
      </c>
      <c r="J29" s="63">
        <v>0.55000000000000004</v>
      </c>
      <c r="K29" s="64">
        <f t="shared" si="6"/>
        <v>38.438400000000001</v>
      </c>
      <c r="L29" s="70">
        <v>50</v>
      </c>
      <c r="M29" s="712"/>
      <c r="N29" s="69" t="s">
        <v>397</v>
      </c>
      <c r="O29" s="61" t="s">
        <v>99</v>
      </c>
      <c r="P29" s="3" t="s">
        <v>30</v>
      </c>
      <c r="Q29" s="63">
        <v>0.69</v>
      </c>
      <c r="R29" s="64">
        <f t="shared" si="0"/>
        <v>48.222720000000002</v>
      </c>
      <c r="S29" s="70">
        <v>58</v>
      </c>
      <c r="T29" s="710"/>
      <c r="U29" s="69" t="s">
        <v>393</v>
      </c>
      <c r="V29" s="61" t="s">
        <v>93</v>
      </c>
      <c r="W29" s="3" t="s">
        <v>30</v>
      </c>
      <c r="X29" s="63">
        <v>0.72</v>
      </c>
      <c r="Y29" s="64">
        <f t="shared" si="1"/>
        <v>50.319360000000003</v>
      </c>
      <c r="Z29" s="70">
        <v>65</v>
      </c>
      <c r="AA29" s="710"/>
      <c r="AB29" s="69" t="s">
        <v>393</v>
      </c>
      <c r="AC29" s="61" t="s">
        <v>93</v>
      </c>
      <c r="AD29" s="3" t="s">
        <v>30</v>
      </c>
      <c r="AE29" s="63">
        <v>0.72</v>
      </c>
      <c r="AF29" s="64">
        <f t="shared" si="2"/>
        <v>50.319360000000003</v>
      </c>
      <c r="AG29" s="70">
        <v>65</v>
      </c>
      <c r="AH29" s="710"/>
      <c r="AI29" s="710"/>
      <c r="AJ29" s="710"/>
    </row>
    <row r="30" spans="1:36">
      <c r="A30" s="710"/>
      <c r="B30" s="712"/>
      <c r="C30" s="712"/>
      <c r="D30" s="712"/>
      <c r="E30" s="712"/>
      <c r="F30" s="721"/>
      <c r="G30" s="69" t="s">
        <v>348</v>
      </c>
      <c r="H30" s="61" t="s">
        <v>35</v>
      </c>
      <c r="I30" s="3" t="s">
        <v>30</v>
      </c>
      <c r="J30" s="63">
        <v>0.38</v>
      </c>
      <c r="K30" s="64">
        <f t="shared" si="6"/>
        <v>26.557440000000003</v>
      </c>
      <c r="L30" s="70">
        <v>50</v>
      </c>
      <c r="M30" s="712"/>
      <c r="N30" s="69" t="s">
        <v>398</v>
      </c>
      <c r="O30" s="61" t="s">
        <v>102</v>
      </c>
      <c r="P30" s="3" t="s">
        <v>30</v>
      </c>
      <c r="Q30" s="63">
        <v>0.56999999999999995</v>
      </c>
      <c r="R30" s="64">
        <f t="shared" si="0"/>
        <v>39.83616</v>
      </c>
      <c r="S30" s="70">
        <v>55</v>
      </c>
      <c r="T30" s="710"/>
      <c r="U30" s="69" t="s">
        <v>394</v>
      </c>
      <c r="V30" s="61" t="s">
        <v>94</v>
      </c>
      <c r="W30" s="3" t="s">
        <v>30</v>
      </c>
      <c r="X30" s="63">
        <v>0.75</v>
      </c>
      <c r="Y30" s="64">
        <f t="shared" si="1"/>
        <v>52.416000000000004</v>
      </c>
      <c r="Z30" s="70">
        <v>68</v>
      </c>
      <c r="AA30" s="710"/>
      <c r="AB30" s="69" t="s">
        <v>394</v>
      </c>
      <c r="AC30" s="61" t="s">
        <v>94</v>
      </c>
      <c r="AD30" s="3" t="s">
        <v>30</v>
      </c>
      <c r="AE30" s="63">
        <v>0.75</v>
      </c>
      <c r="AF30" s="64">
        <f t="shared" si="2"/>
        <v>52.416000000000004</v>
      </c>
      <c r="AG30" s="70">
        <v>68</v>
      </c>
      <c r="AH30" s="710"/>
      <c r="AI30" s="710"/>
      <c r="AJ30" s="710"/>
    </row>
    <row r="31" spans="1:36" ht="13.15" customHeight="1">
      <c r="A31" s="710"/>
      <c r="B31" s="712"/>
      <c r="C31" s="712"/>
      <c r="D31" s="712"/>
      <c r="E31" s="712"/>
      <c r="F31" s="721"/>
      <c r="G31" s="69" t="s">
        <v>347</v>
      </c>
      <c r="H31" s="61" t="s">
        <v>39</v>
      </c>
      <c r="I31" s="3" t="s">
        <v>30</v>
      </c>
      <c r="J31" s="63">
        <v>0.55000000000000004</v>
      </c>
      <c r="K31" s="64">
        <f t="shared" si="6"/>
        <v>38.438400000000001</v>
      </c>
      <c r="L31" s="70">
        <v>52</v>
      </c>
      <c r="M31" s="712"/>
      <c r="N31" s="69" t="s">
        <v>399</v>
      </c>
      <c r="O31" s="61" t="s">
        <v>103</v>
      </c>
      <c r="P31" s="3" t="s">
        <v>30</v>
      </c>
      <c r="Q31" s="63">
        <v>0.54</v>
      </c>
      <c r="R31" s="64">
        <f t="shared" si="0"/>
        <v>37.739519999999999</v>
      </c>
      <c r="S31" s="70">
        <v>50</v>
      </c>
      <c r="T31" s="710"/>
      <c r="U31" s="69" t="s">
        <v>395</v>
      </c>
      <c r="V31" s="61" t="s">
        <v>95</v>
      </c>
      <c r="W31" s="3" t="s">
        <v>30</v>
      </c>
      <c r="X31" s="63">
        <v>0.72</v>
      </c>
      <c r="Y31" s="64">
        <f t="shared" si="1"/>
        <v>50.319360000000003</v>
      </c>
      <c r="Z31" s="70">
        <v>64</v>
      </c>
      <c r="AA31" s="710"/>
      <c r="AB31" s="69" t="s">
        <v>395</v>
      </c>
      <c r="AC31" s="61" t="s">
        <v>95</v>
      </c>
      <c r="AD31" s="3" t="s">
        <v>30</v>
      </c>
      <c r="AE31" s="63">
        <v>0.72</v>
      </c>
      <c r="AF31" s="64">
        <f t="shared" si="2"/>
        <v>50.319360000000003</v>
      </c>
      <c r="AG31" s="70">
        <v>64</v>
      </c>
      <c r="AH31" s="710"/>
      <c r="AI31" s="710"/>
      <c r="AJ31" s="710"/>
    </row>
    <row r="32" spans="1:36">
      <c r="A32" s="710"/>
      <c r="B32" s="712"/>
      <c r="C32" s="712"/>
      <c r="D32" s="712"/>
      <c r="E32" s="712"/>
      <c r="F32" s="721"/>
      <c r="G32" s="73" t="s">
        <v>371</v>
      </c>
      <c r="H32" s="74" t="s">
        <v>145</v>
      </c>
      <c r="I32" s="75" t="s">
        <v>31</v>
      </c>
      <c r="J32" s="76">
        <v>0.44</v>
      </c>
      <c r="K32" s="77">
        <f t="shared" si="6"/>
        <v>30.750720000000001</v>
      </c>
      <c r="L32" s="78">
        <v>45</v>
      </c>
      <c r="M32" s="712"/>
      <c r="N32" s="69" t="s">
        <v>400</v>
      </c>
      <c r="O32" s="61" t="s">
        <v>104</v>
      </c>
      <c r="P32" s="3" t="s">
        <v>30</v>
      </c>
      <c r="Q32" s="63">
        <v>0.47</v>
      </c>
      <c r="R32" s="64">
        <f t="shared" si="0"/>
        <v>32.847360000000002</v>
      </c>
      <c r="S32" s="70">
        <v>46</v>
      </c>
      <c r="T32" s="710"/>
      <c r="U32" s="69" t="s">
        <v>396</v>
      </c>
      <c r="V32" s="61" t="s">
        <v>96</v>
      </c>
      <c r="W32" s="3" t="s">
        <v>30</v>
      </c>
      <c r="X32" s="63">
        <v>0.69</v>
      </c>
      <c r="Y32" s="64">
        <f t="shared" si="1"/>
        <v>48.222720000000002</v>
      </c>
      <c r="Z32" s="70">
        <v>64</v>
      </c>
      <c r="AA32" s="710"/>
      <c r="AB32" s="69" t="s">
        <v>396</v>
      </c>
      <c r="AC32" s="61" t="s">
        <v>96</v>
      </c>
      <c r="AD32" s="3" t="s">
        <v>30</v>
      </c>
      <c r="AE32" s="63">
        <v>0.69</v>
      </c>
      <c r="AF32" s="64">
        <f t="shared" si="2"/>
        <v>48.222720000000002</v>
      </c>
      <c r="AG32" s="70">
        <v>64</v>
      </c>
      <c r="AH32" s="710"/>
      <c r="AI32" s="710"/>
      <c r="AJ32" s="710"/>
    </row>
    <row r="33" spans="1:36">
      <c r="A33" s="710"/>
      <c r="B33" s="712"/>
      <c r="C33" s="712"/>
      <c r="D33" s="712"/>
      <c r="E33" s="712"/>
      <c r="F33" s="721"/>
      <c r="G33" s="69" t="s">
        <v>339</v>
      </c>
      <c r="H33" s="61" t="s">
        <v>143</v>
      </c>
      <c r="I33" s="62" t="s">
        <v>31</v>
      </c>
      <c r="J33" s="63">
        <v>0.37</v>
      </c>
      <c r="K33" s="64">
        <f t="shared" si="6"/>
        <v>25.858560000000004</v>
      </c>
      <c r="L33" s="70">
        <v>45</v>
      </c>
      <c r="M33" s="712"/>
      <c r="N33" s="69" t="s">
        <v>401</v>
      </c>
      <c r="O33" s="61" t="s">
        <v>105</v>
      </c>
      <c r="P33" s="3" t="s">
        <v>30</v>
      </c>
      <c r="Q33" s="63">
        <v>0.63</v>
      </c>
      <c r="R33" s="64">
        <f t="shared" si="0"/>
        <v>44.029440000000001</v>
      </c>
      <c r="S33" s="70">
        <v>55</v>
      </c>
      <c r="T33" s="710"/>
      <c r="U33" s="69" t="s">
        <v>97</v>
      </c>
      <c r="V33" s="61" t="s">
        <v>98</v>
      </c>
      <c r="W33" s="3" t="s">
        <v>30</v>
      </c>
      <c r="X33" s="63">
        <v>0.65</v>
      </c>
      <c r="Y33" s="64">
        <f t="shared" si="1"/>
        <v>45.427200000000006</v>
      </c>
      <c r="Z33" s="70">
        <v>60</v>
      </c>
      <c r="AA33" s="710"/>
      <c r="AB33" s="69" t="s">
        <v>97</v>
      </c>
      <c r="AC33" s="61" t="s">
        <v>98</v>
      </c>
      <c r="AD33" s="3" t="s">
        <v>30</v>
      </c>
      <c r="AE33" s="63">
        <v>0.65</v>
      </c>
      <c r="AF33" s="64">
        <f t="shared" si="2"/>
        <v>45.427200000000006</v>
      </c>
      <c r="AG33" s="70">
        <v>60</v>
      </c>
      <c r="AH33" s="710"/>
      <c r="AI33" s="710"/>
      <c r="AJ33" s="710"/>
    </row>
    <row r="34" spans="1:36">
      <c r="A34" s="710"/>
      <c r="B34" s="712"/>
      <c r="C34" s="712"/>
      <c r="D34" s="712"/>
      <c r="E34" s="712"/>
      <c r="F34" s="721"/>
      <c r="G34" s="69" t="s">
        <v>341</v>
      </c>
      <c r="H34" s="65" t="s">
        <v>52</v>
      </c>
      <c r="I34" s="62" t="s">
        <v>31</v>
      </c>
      <c r="J34" s="63">
        <v>0.43</v>
      </c>
      <c r="K34" s="64">
        <f t="shared" si="6"/>
        <v>30.051840000000002</v>
      </c>
      <c r="L34" s="70">
        <v>42</v>
      </c>
      <c r="M34" s="712"/>
      <c r="N34" s="69" t="s">
        <v>402</v>
      </c>
      <c r="O34" s="61" t="s">
        <v>117</v>
      </c>
      <c r="P34" s="3" t="s">
        <v>30</v>
      </c>
      <c r="Q34" s="63">
        <v>0.61</v>
      </c>
      <c r="R34" s="64">
        <f t="shared" si="0"/>
        <v>42.631680000000003</v>
      </c>
      <c r="S34" s="70">
        <v>64</v>
      </c>
      <c r="T34" s="710"/>
      <c r="U34" s="69" t="s">
        <v>397</v>
      </c>
      <c r="V34" s="61" t="s">
        <v>99</v>
      </c>
      <c r="W34" s="3" t="s">
        <v>30</v>
      </c>
      <c r="X34" s="63">
        <v>0.69</v>
      </c>
      <c r="Y34" s="64">
        <f t="shared" si="1"/>
        <v>48.222720000000002</v>
      </c>
      <c r="Z34" s="70">
        <v>58</v>
      </c>
      <c r="AA34" s="710"/>
      <c r="AB34" s="69" t="s">
        <v>397</v>
      </c>
      <c r="AC34" s="61" t="s">
        <v>99</v>
      </c>
      <c r="AD34" s="3" t="s">
        <v>30</v>
      </c>
      <c r="AE34" s="63">
        <v>0.69</v>
      </c>
      <c r="AF34" s="64">
        <f t="shared" si="2"/>
        <v>48.222720000000002</v>
      </c>
      <c r="AG34" s="70">
        <v>58</v>
      </c>
      <c r="AH34" s="710"/>
      <c r="AI34" s="710"/>
      <c r="AJ34" s="710"/>
    </row>
    <row r="35" spans="1:36">
      <c r="A35" s="710"/>
      <c r="B35" s="712"/>
      <c r="C35" s="712"/>
      <c r="D35" s="712"/>
      <c r="E35" s="712"/>
      <c r="F35" s="721"/>
      <c r="G35" s="69" t="s">
        <v>342</v>
      </c>
      <c r="H35" s="65" t="s">
        <v>53</v>
      </c>
      <c r="I35" s="62" t="s">
        <v>31</v>
      </c>
      <c r="J35" s="63">
        <v>0.32</v>
      </c>
      <c r="K35" s="64">
        <f t="shared" si="6"/>
        <v>22.364160000000002</v>
      </c>
      <c r="L35" s="70">
        <v>27</v>
      </c>
      <c r="M35" s="712"/>
      <c r="N35" s="69" t="s">
        <v>408</v>
      </c>
      <c r="O35" s="61" t="s">
        <v>126</v>
      </c>
      <c r="P35" s="3" t="s">
        <v>30</v>
      </c>
      <c r="Q35" s="63">
        <v>0.64</v>
      </c>
      <c r="R35" s="64">
        <f t="shared" ref="R35:R55" si="7">Q35*62.4*1.12</f>
        <v>44.728320000000004</v>
      </c>
      <c r="S35" s="70">
        <v>63</v>
      </c>
      <c r="T35" s="710"/>
      <c r="U35" s="69" t="s">
        <v>398</v>
      </c>
      <c r="V35" s="61" t="s">
        <v>102</v>
      </c>
      <c r="W35" s="3" t="s">
        <v>30</v>
      </c>
      <c r="X35" s="63">
        <v>0.56999999999999995</v>
      </c>
      <c r="Y35" s="64">
        <f t="shared" ref="Y35:Y65" si="8">X35*62.4*1.12</f>
        <v>39.83616</v>
      </c>
      <c r="Z35" s="70">
        <v>55</v>
      </c>
      <c r="AA35" s="710"/>
      <c r="AB35" s="69" t="s">
        <v>398</v>
      </c>
      <c r="AC35" s="61" t="s">
        <v>102</v>
      </c>
      <c r="AD35" s="3" t="s">
        <v>30</v>
      </c>
      <c r="AE35" s="63">
        <v>0.56999999999999995</v>
      </c>
      <c r="AF35" s="64">
        <f t="shared" ref="AF35:AF61" si="9">AE35*62.4*1.12</f>
        <v>39.83616</v>
      </c>
      <c r="AG35" s="70">
        <v>55</v>
      </c>
      <c r="AH35" s="710"/>
      <c r="AI35" s="710"/>
      <c r="AJ35" s="710"/>
    </row>
    <row r="36" spans="1:36">
      <c r="A36" s="710"/>
      <c r="B36" s="712"/>
      <c r="C36" s="712"/>
      <c r="D36" s="712"/>
      <c r="E36" s="712"/>
      <c r="F36" s="721"/>
      <c r="G36" s="69" t="s">
        <v>346</v>
      </c>
      <c r="H36" s="61" t="s">
        <v>42</v>
      </c>
      <c r="I36" s="3" t="s">
        <v>30</v>
      </c>
      <c r="J36" s="63">
        <v>0.35</v>
      </c>
      <c r="K36" s="64">
        <f t="shared" si="6"/>
        <v>24.460800000000003</v>
      </c>
      <c r="L36" s="70">
        <v>46</v>
      </c>
      <c r="M36" s="712"/>
      <c r="N36" s="69" t="s">
        <v>403</v>
      </c>
      <c r="O36" s="61" t="s">
        <v>118</v>
      </c>
      <c r="P36" s="3" t="s">
        <v>30</v>
      </c>
      <c r="Q36" s="63">
        <v>0.69</v>
      </c>
      <c r="R36" s="64">
        <f t="shared" si="7"/>
        <v>48.222720000000002</v>
      </c>
      <c r="S36" s="70">
        <v>64</v>
      </c>
      <c r="T36" s="710"/>
      <c r="U36" s="69" t="s">
        <v>399</v>
      </c>
      <c r="V36" s="61" t="s">
        <v>103</v>
      </c>
      <c r="W36" s="3" t="s">
        <v>30</v>
      </c>
      <c r="X36" s="63">
        <v>0.54</v>
      </c>
      <c r="Y36" s="64">
        <f t="shared" si="8"/>
        <v>37.739519999999999</v>
      </c>
      <c r="Z36" s="70">
        <v>50</v>
      </c>
      <c r="AA36" s="710"/>
      <c r="AB36" s="69" t="s">
        <v>399</v>
      </c>
      <c r="AC36" s="61" t="s">
        <v>103</v>
      </c>
      <c r="AD36" s="3" t="s">
        <v>30</v>
      </c>
      <c r="AE36" s="63">
        <v>0.54</v>
      </c>
      <c r="AF36" s="64">
        <f t="shared" si="9"/>
        <v>37.739519999999999</v>
      </c>
      <c r="AG36" s="70">
        <v>50</v>
      </c>
      <c r="AH36" s="710"/>
      <c r="AI36" s="710"/>
      <c r="AJ36" s="710"/>
    </row>
    <row r="37" spans="1:36">
      <c r="A37" s="725"/>
      <c r="B37" s="712"/>
      <c r="C37" s="712"/>
      <c r="D37" s="712"/>
      <c r="E37" s="712"/>
      <c r="F37" s="721"/>
      <c r="G37" s="69" t="s">
        <v>340</v>
      </c>
      <c r="H37" s="61" t="s">
        <v>524</v>
      </c>
      <c r="I37" s="62" t="s">
        <v>31</v>
      </c>
      <c r="J37" s="63">
        <v>0.48</v>
      </c>
      <c r="K37" s="64">
        <f t="shared" si="6"/>
        <v>33.546240000000004</v>
      </c>
      <c r="L37" s="70">
        <v>38</v>
      </c>
      <c r="M37" s="712"/>
      <c r="N37" s="69" t="s">
        <v>404</v>
      </c>
      <c r="O37" s="61" t="s">
        <v>120</v>
      </c>
      <c r="P37" s="3" t="s">
        <v>30</v>
      </c>
      <c r="Q37" s="63">
        <v>0.63</v>
      </c>
      <c r="R37" s="64">
        <f t="shared" si="7"/>
        <v>44.029440000000001</v>
      </c>
      <c r="S37" s="70">
        <v>64</v>
      </c>
      <c r="T37" s="710"/>
      <c r="U37" s="69" t="s">
        <v>400</v>
      </c>
      <c r="V37" s="61" t="s">
        <v>104</v>
      </c>
      <c r="W37" s="3" t="s">
        <v>30</v>
      </c>
      <c r="X37" s="63">
        <v>0.47</v>
      </c>
      <c r="Y37" s="64">
        <f t="shared" si="8"/>
        <v>32.847360000000002</v>
      </c>
      <c r="Z37" s="70">
        <v>46</v>
      </c>
      <c r="AA37" s="710"/>
      <c r="AB37" s="69" t="s">
        <v>400</v>
      </c>
      <c r="AC37" s="61" t="s">
        <v>104</v>
      </c>
      <c r="AD37" s="3" t="s">
        <v>30</v>
      </c>
      <c r="AE37" s="63">
        <v>0.47</v>
      </c>
      <c r="AF37" s="64">
        <f t="shared" si="9"/>
        <v>32.847360000000002</v>
      </c>
      <c r="AG37" s="70">
        <v>46</v>
      </c>
      <c r="AH37" s="710"/>
      <c r="AI37" s="710"/>
      <c r="AJ37" s="710"/>
    </row>
    <row r="38" spans="1:36">
      <c r="A38" s="710"/>
      <c r="B38" s="712"/>
      <c r="C38" s="712"/>
      <c r="D38" s="712"/>
      <c r="E38" s="712"/>
      <c r="F38" s="721"/>
      <c r="G38" s="69" t="s">
        <v>365</v>
      </c>
      <c r="H38" s="65" t="s">
        <v>38</v>
      </c>
      <c r="I38" s="62" t="s">
        <v>31</v>
      </c>
      <c r="J38" s="63">
        <v>0.5</v>
      </c>
      <c r="K38" s="64">
        <f t="shared" si="6"/>
        <v>34.944000000000003</v>
      </c>
      <c r="L38" s="70">
        <v>39</v>
      </c>
      <c r="M38" s="712"/>
      <c r="N38" s="69" t="s">
        <v>405</v>
      </c>
      <c r="O38" s="61" t="s">
        <v>121</v>
      </c>
      <c r="P38" s="3" t="s">
        <v>30</v>
      </c>
      <c r="Q38" s="63">
        <v>0.63</v>
      </c>
      <c r="R38" s="64">
        <f t="shared" si="7"/>
        <v>44.029440000000001</v>
      </c>
      <c r="S38" s="70">
        <v>64</v>
      </c>
      <c r="T38" s="710"/>
      <c r="U38" s="69" t="s">
        <v>401</v>
      </c>
      <c r="V38" s="61" t="s">
        <v>105</v>
      </c>
      <c r="W38" s="3" t="s">
        <v>30</v>
      </c>
      <c r="X38" s="63">
        <v>0.63</v>
      </c>
      <c r="Y38" s="64">
        <f t="shared" si="8"/>
        <v>44.029440000000001</v>
      </c>
      <c r="Z38" s="70">
        <v>55</v>
      </c>
      <c r="AA38" s="710"/>
      <c r="AB38" s="69" t="s">
        <v>401</v>
      </c>
      <c r="AC38" s="61" t="s">
        <v>105</v>
      </c>
      <c r="AD38" s="3" t="s">
        <v>30</v>
      </c>
      <c r="AE38" s="63">
        <v>0.63</v>
      </c>
      <c r="AF38" s="64">
        <f t="shared" si="9"/>
        <v>44.029440000000001</v>
      </c>
      <c r="AG38" s="70">
        <v>55</v>
      </c>
      <c r="AH38" s="710"/>
      <c r="AI38" s="710"/>
      <c r="AJ38" s="710"/>
    </row>
    <row r="39" spans="1:36">
      <c r="A39" s="725"/>
      <c r="B39" s="712"/>
      <c r="C39" s="712"/>
      <c r="D39" s="712"/>
      <c r="E39" s="712"/>
      <c r="F39" s="721"/>
      <c r="G39" s="69" t="s">
        <v>343</v>
      </c>
      <c r="H39" s="65" t="s">
        <v>147</v>
      </c>
      <c r="I39" s="62" t="s">
        <v>31</v>
      </c>
      <c r="J39" s="63">
        <v>0.38</v>
      </c>
      <c r="K39" s="64">
        <f t="shared" si="6"/>
        <v>26.557440000000003</v>
      </c>
      <c r="L39" s="70">
        <v>48</v>
      </c>
      <c r="M39" s="712"/>
      <c r="N39" s="69" t="s">
        <v>409</v>
      </c>
      <c r="O39" s="61" t="s">
        <v>130</v>
      </c>
      <c r="P39" s="3" t="s">
        <v>30</v>
      </c>
      <c r="Q39" s="63">
        <v>0.67</v>
      </c>
      <c r="R39" s="64">
        <f t="shared" si="7"/>
        <v>46.824960000000004</v>
      </c>
      <c r="S39" s="70">
        <v>64</v>
      </c>
      <c r="T39" s="710"/>
      <c r="U39" s="69" t="s">
        <v>402</v>
      </c>
      <c r="V39" s="61" t="s">
        <v>117</v>
      </c>
      <c r="W39" s="3" t="s">
        <v>30</v>
      </c>
      <c r="X39" s="63">
        <v>0.61</v>
      </c>
      <c r="Y39" s="64">
        <f t="shared" si="8"/>
        <v>42.631680000000003</v>
      </c>
      <c r="Z39" s="70">
        <v>64</v>
      </c>
      <c r="AA39" s="710"/>
      <c r="AB39" s="69" t="s">
        <v>402</v>
      </c>
      <c r="AC39" s="61" t="s">
        <v>117</v>
      </c>
      <c r="AD39" s="3" t="s">
        <v>30</v>
      </c>
      <c r="AE39" s="63">
        <v>0.61</v>
      </c>
      <c r="AF39" s="64">
        <f t="shared" si="9"/>
        <v>42.631680000000003</v>
      </c>
      <c r="AG39" s="70">
        <v>64</v>
      </c>
      <c r="AH39" s="710"/>
      <c r="AI39" s="710"/>
      <c r="AJ39" s="710"/>
    </row>
    <row r="40" spans="1:36">
      <c r="A40" s="710"/>
      <c r="B40" s="712"/>
      <c r="C40" s="712"/>
      <c r="D40" s="712"/>
      <c r="E40" s="712"/>
      <c r="F40" s="721"/>
      <c r="G40" s="69" t="s">
        <v>364</v>
      </c>
      <c r="H40" s="65" t="s">
        <v>54</v>
      </c>
      <c r="I40" s="62" t="s">
        <v>31</v>
      </c>
      <c r="J40" s="63">
        <v>0.37</v>
      </c>
      <c r="K40" s="64">
        <f t="shared" si="6"/>
        <v>25.858560000000004</v>
      </c>
      <c r="L40" s="70">
        <v>45</v>
      </c>
      <c r="M40" s="712"/>
      <c r="N40" s="69" t="s">
        <v>406</v>
      </c>
      <c r="O40" s="61" t="s">
        <v>122</v>
      </c>
      <c r="P40" s="3" t="s">
        <v>30</v>
      </c>
      <c r="Q40" s="63">
        <v>0.67</v>
      </c>
      <c r="R40" s="64">
        <f t="shared" si="7"/>
        <v>46.824960000000004</v>
      </c>
      <c r="S40" s="70">
        <v>64</v>
      </c>
      <c r="T40" s="710"/>
      <c r="U40" s="69" t="s">
        <v>408</v>
      </c>
      <c r="V40" s="61" t="s">
        <v>126</v>
      </c>
      <c r="W40" s="3" t="s">
        <v>30</v>
      </c>
      <c r="X40" s="63">
        <v>0.64</v>
      </c>
      <c r="Y40" s="64">
        <f t="shared" si="8"/>
        <v>44.728320000000004</v>
      </c>
      <c r="Z40" s="70">
        <v>63</v>
      </c>
      <c r="AA40" s="710"/>
      <c r="AB40" s="69" t="s">
        <v>408</v>
      </c>
      <c r="AC40" s="61" t="s">
        <v>126</v>
      </c>
      <c r="AD40" s="3" t="s">
        <v>30</v>
      </c>
      <c r="AE40" s="63">
        <v>0.64</v>
      </c>
      <c r="AF40" s="64">
        <f t="shared" si="9"/>
        <v>44.728320000000004</v>
      </c>
      <c r="AG40" s="70">
        <v>63</v>
      </c>
      <c r="AH40" s="710"/>
      <c r="AI40" s="710"/>
      <c r="AJ40" s="710"/>
    </row>
    <row r="41" spans="1:36">
      <c r="A41" s="710"/>
      <c r="B41" s="712"/>
      <c r="C41" s="712"/>
      <c r="D41" s="712"/>
      <c r="E41" s="712"/>
      <c r="F41" s="721"/>
      <c r="G41" s="69" t="s">
        <v>363</v>
      </c>
      <c r="H41" s="65" t="s">
        <v>148</v>
      </c>
      <c r="I41" s="62" t="s">
        <v>31</v>
      </c>
      <c r="J41" s="63">
        <v>0.39</v>
      </c>
      <c r="K41" s="64">
        <f t="shared" si="6"/>
        <v>27.256320000000002</v>
      </c>
      <c r="L41" s="70">
        <v>30</v>
      </c>
      <c r="M41" s="712"/>
      <c r="N41" s="69" t="s">
        <v>407</v>
      </c>
      <c r="O41" s="61" t="s">
        <v>123</v>
      </c>
      <c r="P41" s="3" t="s">
        <v>30</v>
      </c>
      <c r="Q41" s="63">
        <v>0.59</v>
      </c>
      <c r="R41" s="64">
        <f t="shared" si="7"/>
        <v>41.233919999999998</v>
      </c>
      <c r="S41" s="70">
        <v>64</v>
      </c>
      <c r="T41" s="710"/>
      <c r="U41" s="69" t="s">
        <v>403</v>
      </c>
      <c r="V41" s="61" t="s">
        <v>118</v>
      </c>
      <c r="W41" s="3" t="s">
        <v>30</v>
      </c>
      <c r="X41" s="63">
        <v>0.69</v>
      </c>
      <c r="Y41" s="64">
        <f t="shared" si="8"/>
        <v>48.222720000000002</v>
      </c>
      <c r="Z41" s="70">
        <v>64</v>
      </c>
      <c r="AA41" s="710"/>
      <c r="AB41" s="69" t="s">
        <v>421</v>
      </c>
      <c r="AC41" s="61" t="s">
        <v>127</v>
      </c>
      <c r="AD41" s="3" t="s">
        <v>30</v>
      </c>
      <c r="AE41" s="63">
        <v>0.66</v>
      </c>
      <c r="AF41" s="64">
        <f t="shared" si="9"/>
        <v>46.126080000000002</v>
      </c>
      <c r="AG41" s="70">
        <v>63</v>
      </c>
      <c r="AH41" s="710"/>
      <c r="AI41" s="710"/>
      <c r="AJ41" s="710"/>
    </row>
    <row r="42" spans="1:36">
      <c r="A42" s="710"/>
      <c r="B42" s="712"/>
      <c r="C42" s="712"/>
      <c r="D42" s="712"/>
      <c r="E42" s="712"/>
      <c r="F42" s="721"/>
      <c r="G42" s="69" t="s">
        <v>362</v>
      </c>
      <c r="H42" s="65" t="s">
        <v>150</v>
      </c>
      <c r="I42" s="62" t="s">
        <v>31</v>
      </c>
      <c r="J42" s="63">
        <v>0.43</v>
      </c>
      <c r="K42" s="64">
        <f t="shared" si="6"/>
        <v>30.051840000000002</v>
      </c>
      <c r="L42" s="70">
        <v>42</v>
      </c>
      <c r="M42" s="712"/>
      <c r="N42" s="69" t="s">
        <v>410</v>
      </c>
      <c r="O42" s="61" t="s">
        <v>46</v>
      </c>
      <c r="P42" s="3" t="s">
        <v>30</v>
      </c>
      <c r="Q42" s="63">
        <v>0.72</v>
      </c>
      <c r="R42" s="64">
        <f t="shared" si="7"/>
        <v>50.319360000000003</v>
      </c>
      <c r="S42" s="70">
        <v>63</v>
      </c>
      <c r="T42" s="710"/>
      <c r="U42" s="69" t="s">
        <v>421</v>
      </c>
      <c r="V42" s="61" t="s">
        <v>127</v>
      </c>
      <c r="W42" s="3" t="s">
        <v>30</v>
      </c>
      <c r="X42" s="63">
        <v>0.66</v>
      </c>
      <c r="Y42" s="64">
        <f t="shared" si="8"/>
        <v>46.126080000000002</v>
      </c>
      <c r="Z42" s="70">
        <v>63</v>
      </c>
      <c r="AA42" s="710"/>
      <c r="AB42" s="69" t="s">
        <v>404</v>
      </c>
      <c r="AC42" s="61" t="s">
        <v>120</v>
      </c>
      <c r="AD42" s="3" t="s">
        <v>30</v>
      </c>
      <c r="AE42" s="63">
        <v>0.63</v>
      </c>
      <c r="AF42" s="64">
        <f t="shared" si="9"/>
        <v>44.029440000000001</v>
      </c>
      <c r="AG42" s="70">
        <v>64</v>
      </c>
      <c r="AH42" s="710"/>
      <c r="AI42" s="710"/>
      <c r="AJ42" s="710"/>
    </row>
    <row r="43" spans="1:36">
      <c r="A43" s="710"/>
      <c r="B43" s="712"/>
      <c r="C43" s="712"/>
      <c r="D43" s="712"/>
      <c r="E43" s="712"/>
      <c r="F43" s="721"/>
      <c r="G43" s="69" t="s">
        <v>361</v>
      </c>
      <c r="H43" s="65" t="s">
        <v>149</v>
      </c>
      <c r="I43" s="62" t="s">
        <v>31</v>
      </c>
      <c r="J43" s="63">
        <v>0.32</v>
      </c>
      <c r="K43" s="64">
        <f t="shared" si="6"/>
        <v>22.364160000000002</v>
      </c>
      <c r="L43" s="70">
        <v>28</v>
      </c>
      <c r="M43" s="712"/>
      <c r="N43" s="69" t="s">
        <v>411</v>
      </c>
      <c r="O43" s="61" t="s">
        <v>47</v>
      </c>
      <c r="P43" s="3" t="s">
        <v>30</v>
      </c>
      <c r="Q43" s="63">
        <v>0.68</v>
      </c>
      <c r="R43" s="64">
        <f t="shared" si="7"/>
        <v>47.523840000000007</v>
      </c>
      <c r="S43" s="70">
        <v>63</v>
      </c>
      <c r="T43" s="710"/>
      <c r="U43" s="69" t="s">
        <v>404</v>
      </c>
      <c r="V43" s="61" t="s">
        <v>120</v>
      </c>
      <c r="W43" s="3" t="s">
        <v>30</v>
      </c>
      <c r="X43" s="63">
        <v>0.63</v>
      </c>
      <c r="Y43" s="64">
        <f t="shared" si="8"/>
        <v>44.029440000000001</v>
      </c>
      <c r="Z43" s="70">
        <v>64</v>
      </c>
      <c r="AA43" s="710"/>
      <c r="AB43" s="69" t="s">
        <v>405</v>
      </c>
      <c r="AC43" s="61" t="s">
        <v>121</v>
      </c>
      <c r="AD43" s="3" t="s">
        <v>30</v>
      </c>
      <c r="AE43" s="63">
        <v>0.63</v>
      </c>
      <c r="AF43" s="64">
        <f t="shared" si="9"/>
        <v>44.029440000000001</v>
      </c>
      <c r="AG43" s="70">
        <v>64</v>
      </c>
      <c r="AH43" s="710"/>
      <c r="AI43" s="710"/>
      <c r="AJ43" s="710"/>
    </row>
    <row r="44" spans="1:36">
      <c r="A44" s="710"/>
      <c r="B44" s="712"/>
      <c r="C44" s="712"/>
      <c r="D44" s="712"/>
      <c r="E44" s="712"/>
      <c r="F44" s="721"/>
      <c r="G44" s="69" t="s">
        <v>360</v>
      </c>
      <c r="H44" s="65" t="s">
        <v>151</v>
      </c>
      <c r="I44" s="62" t="s">
        <v>31</v>
      </c>
      <c r="J44" s="63">
        <v>0.39</v>
      </c>
      <c r="K44" s="64">
        <f t="shared" si="6"/>
        <v>27.256320000000002</v>
      </c>
      <c r="L44" s="70">
        <v>47</v>
      </c>
      <c r="M44" s="712"/>
      <c r="N44" s="69" t="s">
        <v>392</v>
      </c>
      <c r="O44" s="61" t="s">
        <v>91</v>
      </c>
      <c r="P44" s="3" t="s">
        <v>30</v>
      </c>
      <c r="Q44" s="63">
        <v>0.66</v>
      </c>
      <c r="R44" s="64">
        <f t="shared" si="7"/>
        <v>46.126080000000002</v>
      </c>
      <c r="S44" s="70">
        <v>62</v>
      </c>
      <c r="T44" s="710"/>
      <c r="U44" s="69" t="s">
        <v>422</v>
      </c>
      <c r="V44" s="61" t="s">
        <v>129</v>
      </c>
      <c r="W44" s="3" t="s">
        <v>30</v>
      </c>
      <c r="X44" s="63">
        <v>0.63</v>
      </c>
      <c r="Y44" s="64">
        <f t="shared" si="8"/>
        <v>44.029440000000001</v>
      </c>
      <c r="Z44" s="70">
        <v>63</v>
      </c>
      <c r="AA44" s="710"/>
      <c r="AB44" s="69" t="s">
        <v>409</v>
      </c>
      <c r="AC44" s="61" t="s">
        <v>130</v>
      </c>
      <c r="AD44" s="3" t="s">
        <v>30</v>
      </c>
      <c r="AE44" s="63">
        <v>0.67</v>
      </c>
      <c r="AF44" s="64">
        <f t="shared" si="9"/>
        <v>46.824960000000004</v>
      </c>
      <c r="AG44" s="70">
        <v>64</v>
      </c>
      <c r="AH44" s="710"/>
      <c r="AI44" s="710"/>
      <c r="AJ44" s="710"/>
    </row>
    <row r="45" spans="1:36">
      <c r="A45" s="710"/>
      <c r="B45" s="712"/>
      <c r="C45" s="712"/>
      <c r="D45" s="712"/>
      <c r="E45" s="712"/>
      <c r="F45" s="721"/>
      <c r="G45" s="69" t="s">
        <v>359</v>
      </c>
      <c r="H45" s="65" t="s">
        <v>139</v>
      </c>
      <c r="I45" s="62" t="s">
        <v>31</v>
      </c>
      <c r="J45" s="63">
        <v>0.45</v>
      </c>
      <c r="K45" s="64">
        <f t="shared" si="6"/>
        <v>31.4496</v>
      </c>
      <c r="L45" s="70">
        <v>44</v>
      </c>
      <c r="M45" s="712"/>
      <c r="N45" s="69" t="s">
        <v>375</v>
      </c>
      <c r="O45" s="65" t="s">
        <v>152</v>
      </c>
      <c r="P45" s="62" t="s">
        <v>31</v>
      </c>
      <c r="Q45" s="63">
        <v>0.35</v>
      </c>
      <c r="R45" s="64">
        <f t="shared" si="7"/>
        <v>24.460800000000003</v>
      </c>
      <c r="S45" s="70">
        <v>35</v>
      </c>
      <c r="T45" s="710"/>
      <c r="U45" s="69" t="s">
        <v>405</v>
      </c>
      <c r="V45" s="61" t="s">
        <v>121</v>
      </c>
      <c r="W45" s="3" t="s">
        <v>30</v>
      </c>
      <c r="X45" s="63">
        <v>0.63</v>
      </c>
      <c r="Y45" s="64">
        <f t="shared" si="8"/>
        <v>44.029440000000001</v>
      </c>
      <c r="Z45" s="70">
        <v>64</v>
      </c>
      <c r="AA45" s="710"/>
      <c r="AB45" s="69" t="s">
        <v>406</v>
      </c>
      <c r="AC45" s="61" t="s">
        <v>122</v>
      </c>
      <c r="AD45" s="3" t="s">
        <v>30</v>
      </c>
      <c r="AE45" s="63">
        <v>0.67</v>
      </c>
      <c r="AF45" s="64">
        <f t="shared" si="9"/>
        <v>46.824960000000004</v>
      </c>
      <c r="AG45" s="70">
        <v>64</v>
      </c>
      <c r="AH45" s="710"/>
      <c r="AI45" s="710"/>
      <c r="AJ45" s="710"/>
    </row>
    <row r="46" spans="1:36">
      <c r="A46" s="710"/>
      <c r="B46" s="712"/>
      <c r="C46" s="712"/>
      <c r="D46" s="712"/>
      <c r="E46" s="712"/>
      <c r="F46" s="721"/>
      <c r="G46" s="69" t="s">
        <v>358</v>
      </c>
      <c r="H46" s="65" t="s">
        <v>55</v>
      </c>
      <c r="I46" s="62" t="s">
        <v>31</v>
      </c>
      <c r="J46" s="63">
        <v>0.45</v>
      </c>
      <c r="K46" s="64">
        <f t="shared" si="6"/>
        <v>31.4496</v>
      </c>
      <c r="L46" s="70">
        <v>41</v>
      </c>
      <c r="M46" s="712"/>
      <c r="N46" s="69" t="s">
        <v>376</v>
      </c>
      <c r="O46" s="65" t="s">
        <v>153</v>
      </c>
      <c r="P46" s="62" t="s">
        <v>31</v>
      </c>
      <c r="Q46" s="63">
        <v>0.43</v>
      </c>
      <c r="R46" s="64">
        <f t="shared" si="7"/>
        <v>30.051840000000002</v>
      </c>
      <c r="S46" s="70">
        <v>50</v>
      </c>
      <c r="T46" s="710"/>
      <c r="U46" s="69" t="s">
        <v>409</v>
      </c>
      <c r="V46" s="61" t="s">
        <v>130</v>
      </c>
      <c r="W46" s="3" t="s">
        <v>30</v>
      </c>
      <c r="X46" s="63">
        <v>0.67</v>
      </c>
      <c r="Y46" s="64">
        <f t="shared" si="8"/>
        <v>46.824960000000004</v>
      </c>
      <c r="Z46" s="70">
        <v>64</v>
      </c>
      <c r="AA46" s="710"/>
      <c r="AB46" s="69" t="s">
        <v>410</v>
      </c>
      <c r="AC46" s="61" t="s">
        <v>46</v>
      </c>
      <c r="AD46" s="3" t="s">
        <v>30</v>
      </c>
      <c r="AE46" s="63">
        <v>0.72</v>
      </c>
      <c r="AF46" s="64">
        <f t="shared" si="9"/>
        <v>50.319360000000003</v>
      </c>
      <c r="AG46" s="70">
        <v>63</v>
      </c>
      <c r="AH46" s="710"/>
      <c r="AI46" s="710"/>
      <c r="AJ46" s="710"/>
    </row>
    <row r="47" spans="1:36">
      <c r="A47" s="710"/>
      <c r="B47" s="712"/>
      <c r="C47" s="712"/>
      <c r="D47" s="712"/>
      <c r="E47" s="712"/>
      <c r="F47" s="721"/>
      <c r="G47" s="69" t="s">
        <v>357</v>
      </c>
      <c r="H47" s="65" t="s">
        <v>137</v>
      </c>
      <c r="I47" s="62" t="s">
        <v>31</v>
      </c>
      <c r="J47" s="63">
        <v>0.52</v>
      </c>
      <c r="K47" s="64">
        <f t="shared" si="6"/>
        <v>36.341760000000001</v>
      </c>
      <c r="L47" s="70">
        <v>48</v>
      </c>
      <c r="M47" s="712"/>
      <c r="N47" s="69" t="s">
        <v>377</v>
      </c>
      <c r="O47" s="65" t="s">
        <v>160</v>
      </c>
      <c r="P47" s="62" t="s">
        <v>31</v>
      </c>
      <c r="Q47" s="63">
        <v>0.46</v>
      </c>
      <c r="R47" s="64">
        <f t="shared" si="7"/>
        <v>32.148480000000006</v>
      </c>
      <c r="S47" s="70">
        <v>42</v>
      </c>
      <c r="T47" s="710"/>
      <c r="U47" s="69" t="s">
        <v>406</v>
      </c>
      <c r="V47" s="61" t="s">
        <v>122</v>
      </c>
      <c r="W47" s="3" t="s">
        <v>30</v>
      </c>
      <c r="X47" s="63">
        <v>0.67</v>
      </c>
      <c r="Y47" s="64">
        <f t="shared" si="8"/>
        <v>46.824960000000004</v>
      </c>
      <c r="Z47" s="70">
        <v>64</v>
      </c>
      <c r="AA47" s="710"/>
      <c r="AB47" s="69" t="s">
        <v>411</v>
      </c>
      <c r="AC47" s="61" t="s">
        <v>47</v>
      </c>
      <c r="AD47" s="3" t="s">
        <v>30</v>
      </c>
      <c r="AE47" s="63">
        <v>0.68</v>
      </c>
      <c r="AF47" s="64">
        <f t="shared" si="9"/>
        <v>47.523840000000007</v>
      </c>
      <c r="AG47" s="70">
        <v>63</v>
      </c>
      <c r="AH47" s="710"/>
      <c r="AI47" s="710"/>
      <c r="AJ47" s="710"/>
    </row>
    <row r="48" spans="1:36">
      <c r="A48" s="710"/>
      <c r="B48" s="712"/>
      <c r="C48" s="712"/>
      <c r="D48" s="712"/>
      <c r="E48" s="712"/>
      <c r="F48" s="721"/>
      <c r="G48" s="69" t="s">
        <v>345</v>
      </c>
      <c r="H48" s="61" t="s">
        <v>45</v>
      </c>
      <c r="I48" s="3" t="s">
        <v>30</v>
      </c>
      <c r="J48" s="63">
        <v>0.48</v>
      </c>
      <c r="K48" s="64">
        <f t="shared" si="6"/>
        <v>33.546240000000004</v>
      </c>
      <c r="L48" s="70">
        <v>47</v>
      </c>
      <c r="M48" s="712"/>
      <c r="N48" s="69" t="s">
        <v>378</v>
      </c>
      <c r="O48" s="65" t="s">
        <v>162</v>
      </c>
      <c r="P48" s="62" t="s">
        <v>31</v>
      </c>
      <c r="Q48" s="63">
        <v>0.51</v>
      </c>
      <c r="R48" s="64">
        <f t="shared" si="7"/>
        <v>35.642879999999998</v>
      </c>
      <c r="S48" s="70">
        <v>52</v>
      </c>
      <c r="T48" s="710"/>
      <c r="U48" s="69" t="s">
        <v>407</v>
      </c>
      <c r="V48" s="61" t="s">
        <v>123</v>
      </c>
      <c r="W48" s="3" t="s">
        <v>30</v>
      </c>
      <c r="X48" s="63">
        <v>0.59</v>
      </c>
      <c r="Y48" s="64">
        <f t="shared" si="8"/>
        <v>41.233919999999998</v>
      </c>
      <c r="Z48" s="70">
        <v>64</v>
      </c>
      <c r="AA48" s="710"/>
      <c r="AB48" s="69" t="s">
        <v>375</v>
      </c>
      <c r="AC48" s="65" t="s">
        <v>152</v>
      </c>
      <c r="AD48" s="62" t="s">
        <v>31</v>
      </c>
      <c r="AE48" s="63">
        <v>0.35</v>
      </c>
      <c r="AF48" s="64">
        <f t="shared" si="9"/>
        <v>24.460800000000003</v>
      </c>
      <c r="AG48" s="70">
        <v>35</v>
      </c>
      <c r="AH48" s="710"/>
      <c r="AI48" s="710"/>
      <c r="AJ48" s="710"/>
    </row>
    <row r="49" spans="1:36">
      <c r="A49" s="710"/>
      <c r="B49" s="712"/>
      <c r="C49" s="712"/>
      <c r="D49" s="712"/>
      <c r="E49" s="712"/>
      <c r="F49" s="721"/>
      <c r="G49" s="69" t="s">
        <v>356</v>
      </c>
      <c r="H49" s="65" t="s">
        <v>155</v>
      </c>
      <c r="I49" s="62" t="s">
        <v>31</v>
      </c>
      <c r="J49" s="63">
        <v>0.41</v>
      </c>
      <c r="K49" s="64">
        <f t="shared" si="6"/>
        <v>28.654080000000004</v>
      </c>
      <c r="L49" s="70">
        <v>39</v>
      </c>
      <c r="M49" s="712"/>
      <c r="N49" s="69" t="s">
        <v>379</v>
      </c>
      <c r="O49" s="65" t="s">
        <v>133</v>
      </c>
      <c r="P49" s="62" t="s">
        <v>31</v>
      </c>
      <c r="Q49" s="63">
        <v>0.46</v>
      </c>
      <c r="R49" s="64">
        <f t="shared" si="7"/>
        <v>32.148480000000006</v>
      </c>
      <c r="S49" s="70">
        <v>35</v>
      </c>
      <c r="T49" s="710"/>
      <c r="U49" s="69" t="s">
        <v>423</v>
      </c>
      <c r="V49" s="61" t="s">
        <v>131</v>
      </c>
      <c r="W49" s="3" t="s">
        <v>30</v>
      </c>
      <c r="X49" s="63">
        <v>0.67</v>
      </c>
      <c r="Y49" s="64">
        <f t="shared" si="8"/>
        <v>46.824960000000004</v>
      </c>
      <c r="Z49" s="70">
        <v>63</v>
      </c>
      <c r="AA49" s="710"/>
      <c r="AB49" s="69" t="s">
        <v>376</v>
      </c>
      <c r="AC49" s="65" t="s">
        <v>153</v>
      </c>
      <c r="AD49" s="62" t="s">
        <v>31</v>
      </c>
      <c r="AE49" s="63">
        <v>0.43</v>
      </c>
      <c r="AF49" s="64">
        <f t="shared" si="9"/>
        <v>30.051840000000002</v>
      </c>
      <c r="AG49" s="70">
        <v>50</v>
      </c>
      <c r="AH49" s="710"/>
      <c r="AI49" s="710"/>
      <c r="AJ49" s="710"/>
    </row>
    <row r="50" spans="1:36">
      <c r="A50" s="710"/>
      <c r="B50" s="712"/>
      <c r="C50" s="712"/>
      <c r="D50" s="712"/>
      <c r="E50" s="712"/>
      <c r="F50" s="721"/>
      <c r="G50" s="69" t="s">
        <v>355</v>
      </c>
      <c r="H50" s="65" t="s">
        <v>159</v>
      </c>
      <c r="I50" s="62" t="s">
        <v>31</v>
      </c>
      <c r="J50" s="63">
        <v>0.4</v>
      </c>
      <c r="K50" s="64">
        <f t="shared" si="6"/>
        <v>27.955200000000005</v>
      </c>
      <c r="L50" s="70">
        <v>45</v>
      </c>
      <c r="M50" s="712"/>
      <c r="N50" s="69" t="s">
        <v>380</v>
      </c>
      <c r="O50" s="65" t="s">
        <v>136</v>
      </c>
      <c r="P50" s="62" t="s">
        <v>31</v>
      </c>
      <c r="Q50" s="63">
        <v>0.4</v>
      </c>
      <c r="R50" s="64">
        <f t="shared" si="7"/>
        <v>27.955200000000005</v>
      </c>
      <c r="S50" s="70">
        <v>35</v>
      </c>
      <c r="T50" s="710"/>
      <c r="U50" s="69" t="s">
        <v>410</v>
      </c>
      <c r="V50" s="61" t="s">
        <v>46</v>
      </c>
      <c r="W50" s="3" t="s">
        <v>30</v>
      </c>
      <c r="X50" s="63">
        <v>0.72</v>
      </c>
      <c r="Y50" s="64">
        <f t="shared" si="8"/>
        <v>50.319360000000003</v>
      </c>
      <c r="Z50" s="70">
        <v>63</v>
      </c>
      <c r="AA50" s="710"/>
      <c r="AB50" s="69" t="s">
        <v>416</v>
      </c>
      <c r="AC50" s="65" t="s">
        <v>157</v>
      </c>
      <c r="AD50" s="62" t="s">
        <v>31</v>
      </c>
      <c r="AE50" s="63">
        <v>0.52</v>
      </c>
      <c r="AF50" s="64">
        <f t="shared" si="9"/>
        <v>36.341760000000001</v>
      </c>
      <c r="AG50" s="70">
        <v>50</v>
      </c>
      <c r="AH50" s="710"/>
      <c r="AI50" s="710"/>
      <c r="AJ50" s="710"/>
    </row>
    <row r="51" spans="1:36">
      <c r="A51" s="710"/>
      <c r="B51" s="712"/>
      <c r="C51" s="712"/>
      <c r="D51" s="712"/>
      <c r="E51" s="712"/>
      <c r="F51" s="721"/>
      <c r="G51" s="69" t="s">
        <v>354</v>
      </c>
      <c r="H51" s="65" t="s">
        <v>165</v>
      </c>
      <c r="I51" s="62" t="s">
        <v>31</v>
      </c>
      <c r="J51" s="63">
        <v>0.36</v>
      </c>
      <c r="K51" s="64">
        <f t="shared" si="6"/>
        <v>25.159680000000002</v>
      </c>
      <c r="L51" s="70">
        <v>49</v>
      </c>
      <c r="M51" s="712"/>
      <c r="N51" s="69" t="s">
        <v>412</v>
      </c>
      <c r="O51" s="61" t="s">
        <v>107</v>
      </c>
      <c r="P51" s="3" t="s">
        <v>30</v>
      </c>
      <c r="Q51" s="63">
        <v>0.49</v>
      </c>
      <c r="R51" s="64">
        <f t="shared" si="7"/>
        <v>34.245120000000007</v>
      </c>
      <c r="S51" s="70">
        <v>52</v>
      </c>
      <c r="T51" s="710"/>
      <c r="U51" s="69" t="s">
        <v>411</v>
      </c>
      <c r="V51" s="61" t="s">
        <v>47</v>
      </c>
      <c r="W51" s="3" t="s">
        <v>30</v>
      </c>
      <c r="X51" s="63">
        <v>0.68</v>
      </c>
      <c r="Y51" s="64">
        <f t="shared" si="8"/>
        <v>47.523840000000007</v>
      </c>
      <c r="Z51" s="70">
        <v>63</v>
      </c>
      <c r="AA51" s="710"/>
      <c r="AB51" s="69" t="s">
        <v>377</v>
      </c>
      <c r="AC51" s="65" t="s">
        <v>160</v>
      </c>
      <c r="AD51" s="62" t="s">
        <v>31</v>
      </c>
      <c r="AE51" s="63">
        <v>0.46</v>
      </c>
      <c r="AF51" s="64">
        <f t="shared" si="9"/>
        <v>32.148480000000006</v>
      </c>
      <c r="AG51" s="70">
        <v>42</v>
      </c>
      <c r="AH51" s="710"/>
      <c r="AI51" s="710"/>
      <c r="AJ51" s="710"/>
    </row>
    <row r="52" spans="1:36">
      <c r="A52" s="710"/>
      <c r="B52" s="712"/>
      <c r="C52" s="712"/>
      <c r="D52" s="712"/>
      <c r="E52" s="712"/>
      <c r="F52" s="721"/>
      <c r="G52" s="69" t="s">
        <v>353</v>
      </c>
      <c r="H52" s="65" t="s">
        <v>167</v>
      </c>
      <c r="I52" s="62" t="s">
        <v>31</v>
      </c>
      <c r="J52" s="63">
        <v>0.38</v>
      </c>
      <c r="K52" s="64">
        <f t="shared" si="6"/>
        <v>26.557440000000003</v>
      </c>
      <c r="L52" s="70">
        <v>35</v>
      </c>
      <c r="M52" s="712"/>
      <c r="N52" s="69" t="s">
        <v>24</v>
      </c>
      <c r="O52" s="65" t="s">
        <v>132</v>
      </c>
      <c r="P52" s="62" t="s">
        <v>31</v>
      </c>
      <c r="Q52" s="63">
        <v>0.53</v>
      </c>
      <c r="R52" s="64">
        <f t="shared" si="7"/>
        <v>37.040640000000003</v>
      </c>
      <c r="S52" s="70">
        <v>47</v>
      </c>
      <c r="T52" s="710"/>
      <c r="U52" s="69" t="s">
        <v>392</v>
      </c>
      <c r="V52" s="61" t="s">
        <v>91</v>
      </c>
      <c r="W52" s="3" t="s">
        <v>30</v>
      </c>
      <c r="X52" s="63">
        <v>0.66</v>
      </c>
      <c r="Y52" s="64">
        <f t="shared" si="8"/>
        <v>46.126080000000002</v>
      </c>
      <c r="Z52" s="70">
        <v>62</v>
      </c>
      <c r="AA52" s="710"/>
      <c r="AB52" s="69" t="s">
        <v>378</v>
      </c>
      <c r="AC52" s="65" t="s">
        <v>162</v>
      </c>
      <c r="AD52" s="62" t="s">
        <v>31</v>
      </c>
      <c r="AE52" s="63">
        <v>0.51</v>
      </c>
      <c r="AF52" s="64">
        <f t="shared" si="9"/>
        <v>35.642879999999998</v>
      </c>
      <c r="AG52" s="70">
        <v>52</v>
      </c>
      <c r="AH52" s="710"/>
      <c r="AI52" s="710"/>
      <c r="AJ52" s="710"/>
    </row>
    <row r="53" spans="1:36">
      <c r="A53" s="710"/>
      <c r="B53" s="712"/>
      <c r="C53" s="712"/>
      <c r="D53" s="712"/>
      <c r="E53" s="712"/>
      <c r="F53" s="721"/>
      <c r="G53" s="69" t="s">
        <v>526</v>
      </c>
      <c r="H53" s="65" t="s">
        <v>56</v>
      </c>
      <c r="I53" s="62" t="s">
        <v>31</v>
      </c>
      <c r="J53" s="63">
        <v>0.4</v>
      </c>
      <c r="K53" s="64">
        <f t="shared" si="6"/>
        <v>27.955200000000005</v>
      </c>
      <c r="L53" s="70">
        <v>50</v>
      </c>
      <c r="M53" s="712"/>
      <c r="N53" s="69" t="s">
        <v>413</v>
      </c>
      <c r="O53" s="61" t="s">
        <v>109</v>
      </c>
      <c r="P53" s="3" t="s">
        <v>30</v>
      </c>
      <c r="Q53" s="63">
        <v>0.5</v>
      </c>
      <c r="R53" s="64">
        <f t="shared" si="7"/>
        <v>34.944000000000003</v>
      </c>
      <c r="S53" s="70">
        <v>56</v>
      </c>
      <c r="T53" s="710"/>
      <c r="U53" s="69" t="s">
        <v>375</v>
      </c>
      <c r="V53" s="65" t="s">
        <v>152</v>
      </c>
      <c r="W53" s="62" t="s">
        <v>31</v>
      </c>
      <c r="X53" s="63">
        <v>0.35</v>
      </c>
      <c r="Y53" s="64">
        <f t="shared" si="8"/>
        <v>24.460800000000003</v>
      </c>
      <c r="Z53" s="70">
        <v>35</v>
      </c>
      <c r="AA53" s="710"/>
      <c r="AB53" s="69" t="s">
        <v>417</v>
      </c>
      <c r="AC53" s="65" t="s">
        <v>166</v>
      </c>
      <c r="AD53" s="62" t="s">
        <v>31</v>
      </c>
      <c r="AE53" s="63">
        <v>0.48</v>
      </c>
      <c r="AF53" s="64">
        <f t="shared" si="9"/>
        <v>33.546240000000004</v>
      </c>
      <c r="AG53" s="70">
        <v>50</v>
      </c>
      <c r="AH53" s="710"/>
      <c r="AI53" s="710"/>
      <c r="AJ53" s="710"/>
    </row>
    <row r="54" spans="1:36">
      <c r="A54" s="710"/>
      <c r="B54" s="712"/>
      <c r="C54" s="712"/>
      <c r="D54" s="712"/>
      <c r="E54" s="712"/>
      <c r="F54" s="721"/>
      <c r="G54" s="69" t="s">
        <v>525</v>
      </c>
      <c r="H54" s="65" t="s">
        <v>56</v>
      </c>
      <c r="I54" s="62" t="s">
        <v>31</v>
      </c>
      <c r="J54" s="63">
        <v>0.35</v>
      </c>
      <c r="K54" s="64">
        <f t="shared" si="6"/>
        <v>24.460800000000003</v>
      </c>
      <c r="L54" s="70">
        <v>50</v>
      </c>
      <c r="M54" s="712"/>
      <c r="N54" s="69" t="s">
        <v>414</v>
      </c>
      <c r="O54" s="61" t="s">
        <v>111</v>
      </c>
      <c r="P54" s="3" t="s">
        <v>30</v>
      </c>
      <c r="Q54" s="63">
        <v>0.55000000000000004</v>
      </c>
      <c r="R54" s="64">
        <f t="shared" si="7"/>
        <v>38.438400000000001</v>
      </c>
      <c r="S54" s="70">
        <v>57</v>
      </c>
      <c r="T54" s="710"/>
      <c r="U54" s="69" t="s">
        <v>376</v>
      </c>
      <c r="V54" s="65" t="s">
        <v>153</v>
      </c>
      <c r="W54" s="62" t="s">
        <v>31</v>
      </c>
      <c r="X54" s="63">
        <v>0.43</v>
      </c>
      <c r="Y54" s="64">
        <f t="shared" si="8"/>
        <v>30.051840000000002</v>
      </c>
      <c r="Z54" s="70">
        <v>50</v>
      </c>
      <c r="AA54" s="710"/>
      <c r="AB54" s="69" t="s">
        <v>379</v>
      </c>
      <c r="AC54" s="65" t="s">
        <v>133</v>
      </c>
      <c r="AD54" s="62" t="s">
        <v>31</v>
      </c>
      <c r="AE54" s="63">
        <v>0.46</v>
      </c>
      <c r="AF54" s="64">
        <f t="shared" si="9"/>
        <v>32.148480000000006</v>
      </c>
      <c r="AG54" s="70">
        <v>35</v>
      </c>
      <c r="AH54" s="710"/>
      <c r="AI54" s="710"/>
      <c r="AJ54" s="710"/>
    </row>
    <row r="55" spans="1:36">
      <c r="A55" s="710"/>
      <c r="B55" s="712"/>
      <c r="C55" s="712"/>
      <c r="D55" s="712"/>
      <c r="E55" s="712"/>
      <c r="F55" s="721"/>
      <c r="G55" s="69" t="s">
        <v>352</v>
      </c>
      <c r="H55" s="65" t="s">
        <v>134</v>
      </c>
      <c r="I55" s="62" t="s">
        <v>31</v>
      </c>
      <c r="J55" s="63">
        <v>0.35</v>
      </c>
      <c r="K55" s="64">
        <f t="shared" si="6"/>
        <v>24.460800000000003</v>
      </c>
      <c r="L55" s="70">
        <v>39</v>
      </c>
      <c r="M55" s="712"/>
      <c r="N55" s="71" t="s">
        <v>344</v>
      </c>
      <c r="O55" s="66" t="s">
        <v>112</v>
      </c>
      <c r="P55" s="32" t="s">
        <v>30</v>
      </c>
      <c r="Q55" s="67">
        <v>0.39</v>
      </c>
      <c r="R55" s="68">
        <f t="shared" si="7"/>
        <v>27.256320000000002</v>
      </c>
      <c r="S55" s="72">
        <v>51</v>
      </c>
      <c r="T55" s="710"/>
      <c r="U55" s="69" t="s">
        <v>416</v>
      </c>
      <c r="V55" s="65" t="s">
        <v>157</v>
      </c>
      <c r="W55" s="62" t="s">
        <v>31</v>
      </c>
      <c r="X55" s="63">
        <v>0.52</v>
      </c>
      <c r="Y55" s="64">
        <f t="shared" si="8"/>
        <v>36.341760000000001</v>
      </c>
      <c r="Z55" s="70">
        <v>50</v>
      </c>
      <c r="AA55" s="710"/>
      <c r="AB55" s="69" t="s">
        <v>426</v>
      </c>
      <c r="AC55" s="65" t="s">
        <v>135</v>
      </c>
      <c r="AD55" s="62" t="s">
        <v>31</v>
      </c>
      <c r="AE55" s="63">
        <v>0.4</v>
      </c>
      <c r="AF55" s="64">
        <f t="shared" si="9"/>
        <v>27.955200000000005</v>
      </c>
      <c r="AG55" s="70">
        <v>34</v>
      </c>
      <c r="AH55" s="710"/>
      <c r="AI55" s="710"/>
      <c r="AJ55" s="710"/>
    </row>
    <row r="56" spans="1:36" ht="13.5" thickBot="1">
      <c r="A56" s="710"/>
      <c r="B56" s="712"/>
      <c r="C56" s="712"/>
      <c r="D56" s="712"/>
      <c r="E56" s="712"/>
      <c r="F56" s="721"/>
      <c r="G56" s="69" t="s">
        <v>351</v>
      </c>
      <c r="H56" s="65" t="s">
        <v>57</v>
      </c>
      <c r="I56" s="62" t="s">
        <v>31</v>
      </c>
      <c r="J56" s="63">
        <v>0.36</v>
      </c>
      <c r="K56" s="64">
        <f t="shared" si="6"/>
        <v>25.159680000000002</v>
      </c>
      <c r="L56" s="70">
        <v>33</v>
      </c>
      <c r="M56" s="712"/>
      <c r="N56" s="215" t="s">
        <v>188</v>
      </c>
      <c r="O56" s="216" t="s">
        <v>189</v>
      </c>
      <c r="P56" s="217" t="s">
        <v>168</v>
      </c>
      <c r="Q56" s="218" t="s">
        <v>168</v>
      </c>
      <c r="R56" s="242" t="s">
        <v>168</v>
      </c>
      <c r="S56" s="219" t="s">
        <v>168</v>
      </c>
      <c r="T56" s="710"/>
      <c r="U56" s="69" t="s">
        <v>377</v>
      </c>
      <c r="V56" s="65" t="s">
        <v>160</v>
      </c>
      <c r="W56" s="62" t="s">
        <v>31</v>
      </c>
      <c r="X56" s="63">
        <v>0.46</v>
      </c>
      <c r="Y56" s="64">
        <f t="shared" si="8"/>
        <v>32.148480000000006</v>
      </c>
      <c r="Z56" s="70">
        <v>42</v>
      </c>
      <c r="AA56" s="710"/>
      <c r="AB56" s="69" t="s">
        <v>380</v>
      </c>
      <c r="AC56" s="65" t="s">
        <v>136</v>
      </c>
      <c r="AD56" s="62" t="s">
        <v>31</v>
      </c>
      <c r="AE56" s="63">
        <v>0.4</v>
      </c>
      <c r="AF56" s="64">
        <f t="shared" si="9"/>
        <v>27.955200000000005</v>
      </c>
      <c r="AG56" s="70">
        <v>35</v>
      </c>
      <c r="AH56" s="710"/>
      <c r="AI56" s="710"/>
      <c r="AJ56" s="710"/>
    </row>
    <row r="57" spans="1:36">
      <c r="A57" s="710"/>
      <c r="B57" s="712"/>
      <c r="C57" s="712"/>
      <c r="D57" s="712"/>
      <c r="E57" s="712"/>
      <c r="F57" s="721"/>
      <c r="G57" s="69" t="s">
        <v>28</v>
      </c>
      <c r="H57" s="61" t="s">
        <v>108</v>
      </c>
      <c r="I57" s="3" t="s">
        <v>30</v>
      </c>
      <c r="J57" s="63">
        <v>0.62</v>
      </c>
      <c r="K57" s="64">
        <f t="shared" si="6"/>
        <v>43.330560000000006</v>
      </c>
      <c r="L57" s="70">
        <v>65</v>
      </c>
      <c r="M57" s="712"/>
      <c r="N57" s="730"/>
      <c r="O57" s="731"/>
      <c r="P57" s="732"/>
      <c r="Q57" s="733"/>
      <c r="R57" s="733"/>
      <c r="S57" s="733"/>
      <c r="T57" s="710"/>
      <c r="U57" s="69" t="s">
        <v>417</v>
      </c>
      <c r="V57" s="65" t="s">
        <v>166</v>
      </c>
      <c r="W57" s="62" t="s">
        <v>31</v>
      </c>
      <c r="X57" s="63">
        <v>0.48</v>
      </c>
      <c r="Y57" s="64">
        <f t="shared" si="8"/>
        <v>33.546240000000004</v>
      </c>
      <c r="Z57" s="70">
        <v>50</v>
      </c>
      <c r="AA57" s="710"/>
      <c r="AB57" s="69" t="s">
        <v>412</v>
      </c>
      <c r="AC57" s="61" t="s">
        <v>107</v>
      </c>
      <c r="AD57" s="3" t="s">
        <v>30</v>
      </c>
      <c r="AE57" s="63">
        <v>0.49</v>
      </c>
      <c r="AF57" s="64">
        <f t="shared" si="9"/>
        <v>34.245120000000007</v>
      </c>
      <c r="AG57" s="70">
        <v>52</v>
      </c>
      <c r="AH57" s="710"/>
      <c r="AI57" s="710"/>
      <c r="AJ57" s="710"/>
    </row>
    <row r="58" spans="1:36" ht="13.5" thickBot="1">
      <c r="A58" s="710"/>
      <c r="B58" s="712"/>
      <c r="C58" s="712"/>
      <c r="D58" s="712"/>
      <c r="E58" s="712"/>
      <c r="F58" s="721"/>
      <c r="G58" s="71" t="s">
        <v>344</v>
      </c>
      <c r="H58" s="66" t="s">
        <v>112</v>
      </c>
      <c r="I58" s="32" t="s">
        <v>30</v>
      </c>
      <c r="J58" s="67">
        <v>0.39</v>
      </c>
      <c r="K58" s="68">
        <f t="shared" si="6"/>
        <v>27.256320000000002</v>
      </c>
      <c r="L58" s="72">
        <v>51</v>
      </c>
      <c r="M58" s="712"/>
      <c r="N58" s="712"/>
      <c r="O58" s="712"/>
      <c r="P58" s="712"/>
      <c r="Q58" s="721"/>
      <c r="R58" s="710"/>
      <c r="S58" s="710"/>
      <c r="T58" s="710"/>
      <c r="U58" s="69" t="s">
        <v>379</v>
      </c>
      <c r="V58" s="65" t="s">
        <v>133</v>
      </c>
      <c r="W58" s="62" t="s">
        <v>31</v>
      </c>
      <c r="X58" s="63">
        <v>0.46</v>
      </c>
      <c r="Y58" s="64">
        <f t="shared" si="8"/>
        <v>32.148480000000006</v>
      </c>
      <c r="Z58" s="70">
        <v>35</v>
      </c>
      <c r="AA58" s="710"/>
      <c r="AB58" s="69" t="s">
        <v>24</v>
      </c>
      <c r="AC58" s="65" t="s">
        <v>132</v>
      </c>
      <c r="AD58" s="62" t="s">
        <v>31</v>
      </c>
      <c r="AE58" s="63">
        <v>0.53</v>
      </c>
      <c r="AF58" s="64">
        <f t="shared" si="9"/>
        <v>37.040640000000003</v>
      </c>
      <c r="AG58" s="70">
        <v>47</v>
      </c>
      <c r="AH58" s="710"/>
      <c r="AI58" s="710"/>
      <c r="AJ58" s="710"/>
    </row>
    <row r="59" spans="1:36" ht="13.5" thickBot="1">
      <c r="A59" s="710"/>
      <c r="B59" s="712"/>
      <c r="C59" s="712"/>
      <c r="D59" s="712"/>
      <c r="E59" s="712"/>
      <c r="F59" s="721"/>
      <c r="G59" s="215" t="s">
        <v>188</v>
      </c>
      <c r="H59" s="216" t="s">
        <v>189</v>
      </c>
      <c r="I59" s="217" t="s">
        <v>168</v>
      </c>
      <c r="J59" s="218" t="s">
        <v>168</v>
      </c>
      <c r="K59" s="242" t="s">
        <v>168</v>
      </c>
      <c r="L59" s="219" t="s">
        <v>168</v>
      </c>
      <c r="M59" s="712"/>
      <c r="N59" s="931" t="s">
        <v>174</v>
      </c>
      <c r="O59" s="932"/>
      <c r="P59" s="932"/>
      <c r="Q59" s="932"/>
      <c r="R59" s="932"/>
      <c r="S59" s="933"/>
      <c r="T59" s="710"/>
      <c r="U59" s="69" t="s">
        <v>380</v>
      </c>
      <c r="V59" s="65" t="s">
        <v>136</v>
      </c>
      <c r="W59" s="62" t="s">
        <v>31</v>
      </c>
      <c r="X59" s="63">
        <v>0.4</v>
      </c>
      <c r="Y59" s="64">
        <f t="shared" si="8"/>
        <v>27.955200000000005</v>
      </c>
      <c r="Z59" s="70">
        <v>35</v>
      </c>
      <c r="AA59" s="710"/>
      <c r="AB59" s="69" t="s">
        <v>413</v>
      </c>
      <c r="AC59" s="61" t="s">
        <v>109</v>
      </c>
      <c r="AD59" s="3" t="s">
        <v>30</v>
      </c>
      <c r="AE59" s="63">
        <v>0.5</v>
      </c>
      <c r="AF59" s="64">
        <f t="shared" si="9"/>
        <v>34.944000000000003</v>
      </c>
      <c r="AG59" s="70">
        <v>56</v>
      </c>
      <c r="AH59" s="710"/>
      <c r="AI59" s="710"/>
      <c r="AJ59" s="710"/>
    </row>
    <row r="60" spans="1:36" ht="15.75" thickBot="1">
      <c r="A60" s="710"/>
      <c r="B60" s="712"/>
      <c r="C60" s="712"/>
      <c r="D60" s="712"/>
      <c r="E60" s="712"/>
      <c r="F60" s="721"/>
      <c r="G60" s="730"/>
      <c r="H60" s="731"/>
      <c r="I60" s="732"/>
      <c r="J60" s="733"/>
      <c r="K60" s="733"/>
      <c r="L60" s="733"/>
      <c r="M60" s="712"/>
      <c r="N60" s="184" t="s">
        <v>85</v>
      </c>
      <c r="O60" s="185" t="s">
        <v>140</v>
      </c>
      <c r="P60" s="186" t="s">
        <v>33</v>
      </c>
      <c r="Q60" s="185" t="s">
        <v>1056</v>
      </c>
      <c r="R60" s="185" t="s">
        <v>502</v>
      </c>
      <c r="S60" s="187" t="s">
        <v>503</v>
      </c>
      <c r="T60" s="710"/>
      <c r="U60" s="69" t="s">
        <v>424</v>
      </c>
      <c r="V60" s="61" t="s">
        <v>106</v>
      </c>
      <c r="W60" s="3" t="s">
        <v>30</v>
      </c>
      <c r="X60" s="63">
        <v>0.52</v>
      </c>
      <c r="Y60" s="64">
        <f t="shared" si="8"/>
        <v>36.341760000000001</v>
      </c>
      <c r="Z60" s="70">
        <v>50</v>
      </c>
      <c r="AA60" s="710"/>
      <c r="AB60" s="69" t="s">
        <v>414</v>
      </c>
      <c r="AC60" s="61" t="s">
        <v>111</v>
      </c>
      <c r="AD60" s="3" t="s">
        <v>30</v>
      </c>
      <c r="AE60" s="63">
        <v>0.55000000000000004</v>
      </c>
      <c r="AF60" s="64">
        <f t="shared" si="9"/>
        <v>38.438400000000001</v>
      </c>
      <c r="AG60" s="70">
        <v>57</v>
      </c>
      <c r="AH60" s="710"/>
      <c r="AI60" s="710"/>
      <c r="AJ60" s="710"/>
    </row>
    <row r="61" spans="1:36" ht="14.25" thickTop="1" thickBot="1">
      <c r="A61" s="710"/>
      <c r="B61" s="712"/>
      <c r="C61" s="712"/>
      <c r="D61" s="712"/>
      <c r="E61" s="712"/>
      <c r="F61" s="721"/>
      <c r="G61" s="730"/>
      <c r="H61" s="731"/>
      <c r="I61" s="732"/>
      <c r="J61" s="733"/>
      <c r="K61" s="733"/>
      <c r="L61" s="733"/>
      <c r="M61" s="712"/>
      <c r="N61" s="69" t="s">
        <v>382</v>
      </c>
      <c r="O61" s="61" t="s">
        <v>113</v>
      </c>
      <c r="P61" s="3" t="s">
        <v>30</v>
      </c>
      <c r="Q61" s="63">
        <v>0.57999999999999996</v>
      </c>
      <c r="R61" s="64">
        <f t="shared" ref="R61:R92" si="10">Q61*62.4*1.12</f>
        <v>40.535040000000002</v>
      </c>
      <c r="S61" s="70">
        <v>50</v>
      </c>
      <c r="T61" s="710"/>
      <c r="U61" s="69" t="s">
        <v>412</v>
      </c>
      <c r="V61" s="61" t="s">
        <v>107</v>
      </c>
      <c r="W61" s="3" t="s">
        <v>30</v>
      </c>
      <c r="X61" s="63">
        <v>0.49</v>
      </c>
      <c r="Y61" s="64">
        <f t="shared" si="8"/>
        <v>34.245120000000007</v>
      </c>
      <c r="Z61" s="70">
        <v>52</v>
      </c>
      <c r="AA61" s="710"/>
      <c r="AB61" s="71" t="s">
        <v>344</v>
      </c>
      <c r="AC61" s="66" t="s">
        <v>112</v>
      </c>
      <c r="AD61" s="32" t="s">
        <v>30</v>
      </c>
      <c r="AE61" s="67">
        <v>0.39</v>
      </c>
      <c r="AF61" s="68">
        <f t="shared" si="9"/>
        <v>27.256320000000002</v>
      </c>
      <c r="AG61" s="72">
        <v>51</v>
      </c>
      <c r="AH61" s="710"/>
      <c r="AI61" s="710"/>
      <c r="AJ61" s="710"/>
    </row>
    <row r="62" spans="1:36" ht="13.5" thickBot="1">
      <c r="A62" s="710"/>
      <c r="B62" s="712"/>
      <c r="C62" s="712"/>
      <c r="D62" s="712"/>
      <c r="E62" s="712"/>
      <c r="F62" s="721"/>
      <c r="G62" s="928" t="s">
        <v>175</v>
      </c>
      <c r="H62" s="929"/>
      <c r="I62" s="929"/>
      <c r="J62" s="929"/>
      <c r="K62" s="929"/>
      <c r="L62" s="930"/>
      <c r="M62" s="712"/>
      <c r="N62" s="69" t="s">
        <v>368</v>
      </c>
      <c r="O62" s="61" t="s">
        <v>114</v>
      </c>
      <c r="P62" s="3" t="s">
        <v>30</v>
      </c>
      <c r="Q62" s="63">
        <v>0.56000000000000005</v>
      </c>
      <c r="R62" s="64">
        <f t="shared" si="10"/>
        <v>39.137280000000004</v>
      </c>
      <c r="S62" s="70">
        <v>52</v>
      </c>
      <c r="T62" s="710"/>
      <c r="U62" s="69" t="s">
        <v>24</v>
      </c>
      <c r="V62" s="65" t="s">
        <v>132</v>
      </c>
      <c r="W62" s="62" t="s">
        <v>31</v>
      </c>
      <c r="X62" s="63">
        <v>0.53</v>
      </c>
      <c r="Y62" s="64">
        <f t="shared" si="8"/>
        <v>37.040640000000003</v>
      </c>
      <c r="Z62" s="70">
        <v>47</v>
      </c>
      <c r="AA62" s="710"/>
      <c r="AB62" s="215" t="s">
        <v>188</v>
      </c>
      <c r="AC62" s="216" t="s">
        <v>189</v>
      </c>
      <c r="AD62" s="217" t="s">
        <v>168</v>
      </c>
      <c r="AE62" s="218" t="s">
        <v>168</v>
      </c>
      <c r="AF62" s="242" t="s">
        <v>168</v>
      </c>
      <c r="AG62" s="219" t="s">
        <v>168</v>
      </c>
      <c r="AH62" s="710"/>
      <c r="AI62" s="710"/>
      <c r="AJ62" s="710"/>
    </row>
    <row r="63" spans="1:36" ht="15.75" thickBot="1">
      <c r="A63" s="710"/>
      <c r="B63" s="712"/>
      <c r="C63" s="712"/>
      <c r="D63" s="712"/>
      <c r="E63" s="712"/>
      <c r="F63" s="721"/>
      <c r="G63" s="184" t="s">
        <v>85</v>
      </c>
      <c r="H63" s="185" t="s">
        <v>140</v>
      </c>
      <c r="I63" s="186" t="s">
        <v>33</v>
      </c>
      <c r="J63" s="185" t="s">
        <v>1056</v>
      </c>
      <c r="K63" s="185" t="s">
        <v>502</v>
      </c>
      <c r="L63" s="187" t="s">
        <v>503</v>
      </c>
      <c r="M63" s="712"/>
      <c r="N63" s="69" t="s">
        <v>383</v>
      </c>
      <c r="O63" s="61" t="s">
        <v>116</v>
      </c>
      <c r="P63" s="3" t="s">
        <v>30</v>
      </c>
      <c r="Q63" s="63">
        <v>0.6</v>
      </c>
      <c r="R63" s="64">
        <f t="shared" si="10"/>
        <v>41.9328</v>
      </c>
      <c r="S63" s="70">
        <v>50</v>
      </c>
      <c r="T63" s="710"/>
      <c r="U63" s="69" t="s">
        <v>413</v>
      </c>
      <c r="V63" s="61" t="s">
        <v>109</v>
      </c>
      <c r="W63" s="3" t="s">
        <v>30</v>
      </c>
      <c r="X63" s="63">
        <v>0.5</v>
      </c>
      <c r="Y63" s="64">
        <f t="shared" si="8"/>
        <v>34.944000000000003</v>
      </c>
      <c r="Z63" s="70">
        <v>56</v>
      </c>
      <c r="AA63" s="710"/>
      <c r="AB63" s="710"/>
      <c r="AC63" s="710"/>
      <c r="AD63" s="710"/>
      <c r="AE63" s="710"/>
      <c r="AF63" s="710"/>
      <c r="AG63" s="710"/>
      <c r="AH63" s="710"/>
      <c r="AI63" s="710"/>
      <c r="AJ63" s="710"/>
    </row>
    <row r="64" spans="1:36" ht="14.25" thickTop="1" thickBot="1">
      <c r="A64" s="710"/>
      <c r="B64" s="712"/>
      <c r="C64" s="712"/>
      <c r="D64" s="712"/>
      <c r="E64" s="712"/>
      <c r="F64" s="721"/>
      <c r="G64" s="69" t="s">
        <v>368</v>
      </c>
      <c r="H64" s="61" t="s">
        <v>114</v>
      </c>
      <c r="I64" s="3" t="s">
        <v>30</v>
      </c>
      <c r="J64" s="63">
        <v>0.56000000000000005</v>
      </c>
      <c r="K64" s="64">
        <f t="shared" ref="K64:K84" si="11">J64*62.4*1.12</f>
        <v>39.137280000000004</v>
      </c>
      <c r="L64" s="70">
        <v>52</v>
      </c>
      <c r="M64" s="712"/>
      <c r="N64" s="69" t="s">
        <v>384</v>
      </c>
      <c r="O64" s="61" t="s">
        <v>34</v>
      </c>
      <c r="P64" s="3" t="s">
        <v>30</v>
      </c>
      <c r="Q64" s="63">
        <v>0.39</v>
      </c>
      <c r="R64" s="64">
        <f t="shared" si="10"/>
        <v>27.256320000000002</v>
      </c>
      <c r="S64" s="70">
        <v>43</v>
      </c>
      <c r="T64" s="710"/>
      <c r="U64" s="69" t="s">
        <v>414</v>
      </c>
      <c r="V64" s="61" t="s">
        <v>111</v>
      </c>
      <c r="W64" s="3" t="s">
        <v>30</v>
      </c>
      <c r="X64" s="63">
        <v>0.55000000000000004</v>
      </c>
      <c r="Y64" s="64">
        <f t="shared" si="8"/>
        <v>38.438400000000001</v>
      </c>
      <c r="Z64" s="70">
        <v>57</v>
      </c>
      <c r="AA64" s="710"/>
      <c r="AB64" s="710"/>
      <c r="AC64" s="710"/>
      <c r="AD64" s="710"/>
      <c r="AE64" s="710"/>
      <c r="AF64" s="710"/>
      <c r="AG64" s="710"/>
      <c r="AH64" s="710"/>
      <c r="AI64" s="710"/>
      <c r="AJ64" s="710"/>
    </row>
    <row r="65" spans="1:36">
      <c r="A65" s="710"/>
      <c r="B65" s="712"/>
      <c r="C65" s="712"/>
      <c r="D65" s="712"/>
      <c r="E65" s="712"/>
      <c r="F65" s="721"/>
      <c r="G65" s="69" t="s">
        <v>348</v>
      </c>
      <c r="H65" s="61" t="s">
        <v>35</v>
      </c>
      <c r="I65" s="3" t="s">
        <v>30</v>
      </c>
      <c r="J65" s="63">
        <v>0.38</v>
      </c>
      <c r="K65" s="64">
        <f t="shared" si="11"/>
        <v>26.557440000000003</v>
      </c>
      <c r="L65" s="70">
        <v>50</v>
      </c>
      <c r="M65" s="712"/>
      <c r="N65" s="69" t="s">
        <v>25</v>
      </c>
      <c r="O65" s="65" t="s">
        <v>51</v>
      </c>
      <c r="P65" s="3" t="s">
        <v>31</v>
      </c>
      <c r="Q65" s="63">
        <v>0.46</v>
      </c>
      <c r="R65" s="64">
        <f t="shared" si="10"/>
        <v>32.148480000000006</v>
      </c>
      <c r="S65" s="70">
        <v>51</v>
      </c>
      <c r="T65" s="710"/>
      <c r="U65" s="71" t="s">
        <v>344</v>
      </c>
      <c r="V65" s="66" t="s">
        <v>112</v>
      </c>
      <c r="W65" s="32" t="s">
        <v>30</v>
      </c>
      <c r="X65" s="67">
        <v>0.39</v>
      </c>
      <c r="Y65" s="68">
        <f t="shared" si="8"/>
        <v>27.256320000000002</v>
      </c>
      <c r="Z65" s="72">
        <v>51</v>
      </c>
      <c r="AA65" s="710"/>
      <c r="AB65" s="951" t="s">
        <v>169</v>
      </c>
      <c r="AC65" s="952"/>
      <c r="AD65" s="952"/>
      <c r="AE65" s="952"/>
      <c r="AF65" s="952"/>
      <c r="AG65" s="953"/>
      <c r="AH65" s="710"/>
      <c r="AI65" s="710"/>
      <c r="AJ65" s="710"/>
    </row>
    <row r="66" spans="1:36" ht="15.75" thickBot="1">
      <c r="A66" s="710"/>
      <c r="B66" s="712"/>
      <c r="C66" s="712"/>
      <c r="D66" s="712"/>
      <c r="E66" s="712"/>
      <c r="F66" s="721"/>
      <c r="G66" s="69" t="s">
        <v>391</v>
      </c>
      <c r="H66" s="61" t="s">
        <v>43</v>
      </c>
      <c r="I66" s="3" t="s">
        <v>30</v>
      </c>
      <c r="J66" s="63">
        <v>0.34</v>
      </c>
      <c r="K66" s="64">
        <f t="shared" si="11"/>
        <v>23.761920000000003</v>
      </c>
      <c r="L66" s="70">
        <v>40</v>
      </c>
      <c r="M66" s="712"/>
      <c r="N66" s="69" t="s">
        <v>385</v>
      </c>
      <c r="O66" s="61" t="s">
        <v>36</v>
      </c>
      <c r="P66" s="3" t="s">
        <v>30</v>
      </c>
      <c r="Q66" s="63">
        <v>0.37</v>
      </c>
      <c r="R66" s="64">
        <f t="shared" si="10"/>
        <v>25.858560000000004</v>
      </c>
      <c r="S66" s="70">
        <v>41</v>
      </c>
      <c r="T66" s="710"/>
      <c r="U66" s="215" t="s">
        <v>188</v>
      </c>
      <c r="V66" s="216" t="s">
        <v>189</v>
      </c>
      <c r="W66" s="217" t="s">
        <v>168</v>
      </c>
      <c r="X66" s="218" t="s">
        <v>168</v>
      </c>
      <c r="Y66" s="242" t="s">
        <v>168</v>
      </c>
      <c r="Z66" s="219" t="s">
        <v>168</v>
      </c>
      <c r="AA66" s="710"/>
      <c r="AB66" s="184" t="s">
        <v>85</v>
      </c>
      <c r="AC66" s="185" t="s">
        <v>140</v>
      </c>
      <c r="AD66" s="186" t="s">
        <v>33</v>
      </c>
      <c r="AE66" s="185" t="s">
        <v>1056</v>
      </c>
      <c r="AF66" s="185" t="s">
        <v>502</v>
      </c>
      <c r="AG66" s="187" t="s">
        <v>503</v>
      </c>
      <c r="AH66" s="710"/>
      <c r="AI66" s="710"/>
      <c r="AJ66" s="710"/>
    </row>
    <row r="67" spans="1:36">
      <c r="A67" s="710"/>
      <c r="B67" s="712"/>
      <c r="C67" s="712"/>
      <c r="D67" s="712"/>
      <c r="E67" s="712"/>
      <c r="F67" s="721"/>
      <c r="G67" s="69" t="s">
        <v>347</v>
      </c>
      <c r="H67" s="61" t="s">
        <v>39</v>
      </c>
      <c r="I67" s="3" t="s">
        <v>30</v>
      </c>
      <c r="J67" s="63">
        <v>0.55000000000000004</v>
      </c>
      <c r="K67" s="64">
        <f t="shared" si="11"/>
        <v>38.438400000000001</v>
      </c>
      <c r="L67" s="70">
        <v>52</v>
      </c>
      <c r="M67" s="712"/>
      <c r="N67" s="69" t="s">
        <v>418</v>
      </c>
      <c r="O67" s="61" t="s">
        <v>37</v>
      </c>
      <c r="P67" s="3" t="s">
        <v>30</v>
      </c>
      <c r="Q67" s="63">
        <v>0.64</v>
      </c>
      <c r="R67" s="64">
        <f t="shared" si="10"/>
        <v>44.728320000000004</v>
      </c>
      <c r="S67" s="70">
        <v>54</v>
      </c>
      <c r="T67" s="710"/>
      <c r="U67" s="730"/>
      <c r="V67" s="731"/>
      <c r="W67" s="732"/>
      <c r="X67" s="733"/>
      <c r="Y67" s="733"/>
      <c r="Z67" s="733"/>
      <c r="AA67" s="710"/>
      <c r="AB67" s="69" t="s">
        <v>368</v>
      </c>
      <c r="AC67" s="61" t="s">
        <v>114</v>
      </c>
      <c r="AD67" s="3" t="s">
        <v>30</v>
      </c>
      <c r="AE67" s="63">
        <v>0.56000000000000005</v>
      </c>
      <c r="AF67" s="64">
        <f t="shared" ref="AF67:AF98" si="12">AE67*62.4*1.12</f>
        <v>39.137280000000004</v>
      </c>
      <c r="AG67" s="70">
        <v>52</v>
      </c>
      <c r="AH67" s="710"/>
      <c r="AI67" s="710"/>
      <c r="AJ67" s="710"/>
    </row>
    <row r="68" spans="1:36" ht="13.5" thickBot="1">
      <c r="A68" s="710"/>
      <c r="B68" s="712"/>
      <c r="C68" s="712"/>
      <c r="D68" s="712"/>
      <c r="E68" s="712"/>
      <c r="F68" s="721"/>
      <c r="G68" s="69" t="s">
        <v>342</v>
      </c>
      <c r="H68" s="65" t="s">
        <v>53</v>
      </c>
      <c r="I68" s="62" t="s">
        <v>31</v>
      </c>
      <c r="J68" s="63">
        <v>0.32</v>
      </c>
      <c r="K68" s="64">
        <f t="shared" si="11"/>
        <v>22.364160000000002</v>
      </c>
      <c r="L68" s="70">
        <v>27</v>
      </c>
      <c r="M68" s="712"/>
      <c r="N68" s="69" t="s">
        <v>419</v>
      </c>
      <c r="O68" s="61" t="s">
        <v>40</v>
      </c>
      <c r="P68" s="3" t="s">
        <v>30</v>
      </c>
      <c r="Q68" s="63">
        <v>0.65</v>
      </c>
      <c r="R68" s="64">
        <f t="shared" si="10"/>
        <v>45.427200000000006</v>
      </c>
      <c r="S68" s="70">
        <v>65</v>
      </c>
      <c r="T68" s="710"/>
      <c r="U68" s="710"/>
      <c r="V68" s="710"/>
      <c r="W68" s="710"/>
      <c r="X68" s="710"/>
      <c r="Y68" s="710"/>
      <c r="Z68" s="710"/>
      <c r="AA68" s="710"/>
      <c r="AB68" s="69" t="s">
        <v>383</v>
      </c>
      <c r="AC68" s="61" t="s">
        <v>116</v>
      </c>
      <c r="AD68" s="3" t="s">
        <v>30</v>
      </c>
      <c r="AE68" s="63">
        <v>0.6</v>
      </c>
      <c r="AF68" s="64">
        <f t="shared" si="12"/>
        <v>41.9328</v>
      </c>
      <c r="AG68" s="70">
        <v>50</v>
      </c>
      <c r="AH68" s="710"/>
      <c r="AI68" s="710"/>
      <c r="AJ68" s="710"/>
    </row>
    <row r="69" spans="1:36">
      <c r="A69" s="710"/>
      <c r="B69" s="712"/>
      <c r="C69" s="712"/>
      <c r="D69" s="712"/>
      <c r="E69" s="712"/>
      <c r="F69" s="721"/>
      <c r="G69" s="69" t="s">
        <v>369</v>
      </c>
      <c r="H69" s="61" t="s">
        <v>49</v>
      </c>
      <c r="I69" s="3" t="s">
        <v>30</v>
      </c>
      <c r="J69" s="63">
        <v>0.5</v>
      </c>
      <c r="K69" s="64">
        <f t="shared" si="11"/>
        <v>34.944000000000003</v>
      </c>
      <c r="L69" s="70">
        <v>45</v>
      </c>
      <c r="M69" s="712"/>
      <c r="N69" s="69" t="s">
        <v>386</v>
      </c>
      <c r="O69" s="61" t="s">
        <v>41</v>
      </c>
      <c r="P69" s="3" t="s">
        <v>30</v>
      </c>
      <c r="Q69" s="63">
        <v>0.62</v>
      </c>
      <c r="R69" s="64">
        <f t="shared" si="10"/>
        <v>43.330560000000006</v>
      </c>
      <c r="S69" s="70">
        <v>59</v>
      </c>
      <c r="T69" s="710"/>
      <c r="U69" s="957" t="s">
        <v>173</v>
      </c>
      <c r="V69" s="958"/>
      <c r="W69" s="958"/>
      <c r="X69" s="958"/>
      <c r="Y69" s="958"/>
      <c r="Z69" s="959"/>
      <c r="AA69" s="710"/>
      <c r="AB69" s="69" t="s">
        <v>384</v>
      </c>
      <c r="AC69" s="61" t="s">
        <v>34</v>
      </c>
      <c r="AD69" s="3" t="s">
        <v>30</v>
      </c>
      <c r="AE69" s="63">
        <v>0.39</v>
      </c>
      <c r="AF69" s="64">
        <f t="shared" si="12"/>
        <v>27.256320000000002</v>
      </c>
      <c r="AG69" s="70">
        <v>43</v>
      </c>
      <c r="AH69" s="710"/>
      <c r="AI69" s="710"/>
      <c r="AJ69" s="710"/>
    </row>
    <row r="70" spans="1:36" ht="15.75" thickBot="1">
      <c r="A70" s="710"/>
      <c r="B70" s="712"/>
      <c r="C70" s="712"/>
      <c r="D70" s="712"/>
      <c r="E70" s="712"/>
      <c r="F70" s="721"/>
      <c r="G70" s="69" t="s">
        <v>346</v>
      </c>
      <c r="H70" s="61" t="s">
        <v>42</v>
      </c>
      <c r="I70" s="3" t="s">
        <v>30</v>
      </c>
      <c r="J70" s="63">
        <v>0.35</v>
      </c>
      <c r="K70" s="64">
        <f t="shared" si="11"/>
        <v>24.460800000000003</v>
      </c>
      <c r="L70" s="70">
        <v>46</v>
      </c>
      <c r="M70" s="712"/>
      <c r="N70" s="69" t="s">
        <v>27</v>
      </c>
      <c r="O70" s="61" t="s">
        <v>48</v>
      </c>
      <c r="P70" s="3" t="s">
        <v>30</v>
      </c>
      <c r="Q70" s="63">
        <v>0.38</v>
      </c>
      <c r="R70" s="64">
        <f t="shared" si="10"/>
        <v>26.557440000000003</v>
      </c>
      <c r="S70" s="70">
        <v>46</v>
      </c>
      <c r="T70" s="710"/>
      <c r="U70" s="184" t="s">
        <v>85</v>
      </c>
      <c r="V70" s="185" t="s">
        <v>140</v>
      </c>
      <c r="W70" s="186" t="s">
        <v>33</v>
      </c>
      <c r="X70" s="185" t="s">
        <v>1056</v>
      </c>
      <c r="Y70" s="185" t="s">
        <v>502</v>
      </c>
      <c r="Z70" s="187" t="s">
        <v>503</v>
      </c>
      <c r="AA70" s="710"/>
      <c r="AB70" s="69" t="s">
        <v>348</v>
      </c>
      <c r="AC70" s="61" t="s">
        <v>35</v>
      </c>
      <c r="AD70" s="3" t="s">
        <v>30</v>
      </c>
      <c r="AE70" s="63">
        <v>0.38</v>
      </c>
      <c r="AF70" s="64">
        <f t="shared" si="12"/>
        <v>26.557440000000003</v>
      </c>
      <c r="AG70" s="70">
        <v>50</v>
      </c>
      <c r="AH70" s="710"/>
      <c r="AI70" s="710"/>
      <c r="AJ70" s="710"/>
    </row>
    <row r="71" spans="1:36" ht="13.5" thickTop="1">
      <c r="A71" s="710"/>
      <c r="B71" s="712"/>
      <c r="C71" s="712"/>
      <c r="D71" s="712"/>
      <c r="E71" s="712"/>
      <c r="F71" s="721"/>
      <c r="G71" s="69" t="s">
        <v>370</v>
      </c>
      <c r="H71" s="61" t="s">
        <v>44</v>
      </c>
      <c r="I71" s="3" t="s">
        <v>30</v>
      </c>
      <c r="J71" s="63">
        <v>0.4</v>
      </c>
      <c r="K71" s="64">
        <f t="shared" si="11"/>
        <v>27.955200000000005</v>
      </c>
      <c r="L71" s="70">
        <v>50</v>
      </c>
      <c r="M71" s="712"/>
      <c r="N71" s="69" t="s">
        <v>372</v>
      </c>
      <c r="O71" s="65" t="s">
        <v>142</v>
      </c>
      <c r="P71" s="62" t="s">
        <v>31</v>
      </c>
      <c r="Q71" s="63">
        <v>0.47</v>
      </c>
      <c r="R71" s="64">
        <f t="shared" si="10"/>
        <v>32.847360000000002</v>
      </c>
      <c r="S71" s="70">
        <v>37</v>
      </c>
      <c r="T71" s="710"/>
      <c r="U71" s="69" t="s">
        <v>368</v>
      </c>
      <c r="V71" s="61" t="s">
        <v>114</v>
      </c>
      <c r="W71" s="3" t="s">
        <v>30</v>
      </c>
      <c r="X71" s="63">
        <v>0.56000000000000005</v>
      </c>
      <c r="Y71" s="64">
        <f t="shared" ref="Y71:Y102" si="13">X71*62.4*1.12</f>
        <v>39.137280000000004</v>
      </c>
      <c r="Z71" s="70">
        <v>52</v>
      </c>
      <c r="AA71" s="710"/>
      <c r="AB71" s="69" t="s">
        <v>25</v>
      </c>
      <c r="AC71" s="65" t="s">
        <v>51</v>
      </c>
      <c r="AD71" s="3" t="s">
        <v>31</v>
      </c>
      <c r="AE71" s="63">
        <v>0.46</v>
      </c>
      <c r="AF71" s="64">
        <f t="shared" si="12"/>
        <v>32.148480000000006</v>
      </c>
      <c r="AG71" s="70">
        <v>51</v>
      </c>
      <c r="AH71" s="710"/>
      <c r="AI71" s="710"/>
      <c r="AJ71" s="710"/>
    </row>
    <row r="72" spans="1:36">
      <c r="A72" s="710"/>
      <c r="B72" s="712"/>
      <c r="C72" s="712"/>
      <c r="D72" s="712"/>
      <c r="E72" s="712"/>
      <c r="F72" s="721"/>
      <c r="G72" s="69" t="s">
        <v>366</v>
      </c>
      <c r="H72" s="65" t="s">
        <v>38</v>
      </c>
      <c r="I72" s="62" t="s">
        <v>31</v>
      </c>
      <c r="J72" s="63">
        <v>0.48</v>
      </c>
      <c r="K72" s="64">
        <f t="shared" si="11"/>
        <v>33.546240000000004</v>
      </c>
      <c r="L72" s="70">
        <v>38</v>
      </c>
      <c r="M72" s="712"/>
      <c r="N72" s="69" t="s">
        <v>369</v>
      </c>
      <c r="O72" s="61" t="s">
        <v>49</v>
      </c>
      <c r="P72" s="3" t="s">
        <v>30</v>
      </c>
      <c r="Q72" s="63">
        <v>0.5</v>
      </c>
      <c r="R72" s="64">
        <f t="shared" si="10"/>
        <v>34.944000000000003</v>
      </c>
      <c r="S72" s="70">
        <v>45</v>
      </c>
      <c r="T72" s="710"/>
      <c r="U72" s="69" t="s">
        <v>383</v>
      </c>
      <c r="V72" s="61" t="s">
        <v>116</v>
      </c>
      <c r="W72" s="3" t="s">
        <v>30</v>
      </c>
      <c r="X72" s="63">
        <v>0.6</v>
      </c>
      <c r="Y72" s="64">
        <f t="shared" si="13"/>
        <v>41.9328</v>
      </c>
      <c r="Z72" s="70">
        <v>50</v>
      </c>
      <c r="AA72" s="710"/>
      <c r="AB72" s="69" t="s">
        <v>385</v>
      </c>
      <c r="AC72" s="61" t="s">
        <v>36</v>
      </c>
      <c r="AD72" s="3" t="s">
        <v>30</v>
      </c>
      <c r="AE72" s="63">
        <v>0.37</v>
      </c>
      <c r="AF72" s="64">
        <f t="shared" si="12"/>
        <v>25.858560000000004</v>
      </c>
      <c r="AG72" s="70">
        <v>41</v>
      </c>
      <c r="AH72" s="710"/>
      <c r="AI72" s="710"/>
      <c r="AJ72" s="710"/>
    </row>
    <row r="73" spans="1:36">
      <c r="A73" s="710"/>
      <c r="B73" s="712"/>
      <c r="C73" s="712"/>
      <c r="D73" s="712"/>
      <c r="E73" s="712"/>
      <c r="F73" s="721"/>
      <c r="G73" s="69" t="s">
        <v>367</v>
      </c>
      <c r="H73" s="65" t="s">
        <v>38</v>
      </c>
      <c r="I73" s="62" t="s">
        <v>31</v>
      </c>
      <c r="J73" s="63">
        <v>0.46</v>
      </c>
      <c r="K73" s="64">
        <f t="shared" si="11"/>
        <v>32.148480000000006</v>
      </c>
      <c r="L73" s="70">
        <v>37</v>
      </c>
      <c r="M73" s="712"/>
      <c r="N73" s="69" t="s">
        <v>420</v>
      </c>
      <c r="O73" s="61" t="s">
        <v>50</v>
      </c>
      <c r="P73" s="3" t="s">
        <v>30</v>
      </c>
      <c r="Q73" s="63">
        <v>0.43</v>
      </c>
      <c r="R73" s="64">
        <f t="shared" si="10"/>
        <v>30.051840000000002</v>
      </c>
      <c r="S73" s="70">
        <v>55</v>
      </c>
      <c r="T73" s="710"/>
      <c r="U73" s="69" t="s">
        <v>25</v>
      </c>
      <c r="V73" s="65" t="s">
        <v>51</v>
      </c>
      <c r="W73" s="3" t="s">
        <v>31</v>
      </c>
      <c r="X73" s="63">
        <v>0.46</v>
      </c>
      <c r="Y73" s="64">
        <f t="shared" si="13"/>
        <v>32.148480000000006</v>
      </c>
      <c r="Z73" s="70">
        <v>51</v>
      </c>
      <c r="AA73" s="710"/>
      <c r="AB73" s="69" t="s">
        <v>418</v>
      </c>
      <c r="AC73" s="61" t="s">
        <v>37</v>
      </c>
      <c r="AD73" s="3" t="s">
        <v>30</v>
      </c>
      <c r="AE73" s="63">
        <v>0.64</v>
      </c>
      <c r="AF73" s="64">
        <f t="shared" si="12"/>
        <v>44.728320000000004</v>
      </c>
      <c r="AG73" s="70">
        <v>54</v>
      </c>
      <c r="AH73" s="710"/>
      <c r="AI73" s="710"/>
      <c r="AJ73" s="710"/>
    </row>
    <row r="74" spans="1:36">
      <c r="A74" s="710"/>
      <c r="B74" s="712"/>
      <c r="C74" s="712"/>
      <c r="D74" s="712"/>
      <c r="E74" s="712"/>
      <c r="F74" s="721"/>
      <c r="G74" s="69" t="s">
        <v>364</v>
      </c>
      <c r="H74" s="65" t="s">
        <v>54</v>
      </c>
      <c r="I74" s="62" t="s">
        <v>31</v>
      </c>
      <c r="J74" s="63">
        <v>0.37</v>
      </c>
      <c r="K74" s="64">
        <f t="shared" si="11"/>
        <v>25.858560000000004</v>
      </c>
      <c r="L74" s="70">
        <v>45</v>
      </c>
      <c r="M74" s="712"/>
      <c r="N74" s="69" t="s">
        <v>370</v>
      </c>
      <c r="O74" s="61" t="s">
        <v>44</v>
      </c>
      <c r="P74" s="3" t="s">
        <v>30</v>
      </c>
      <c r="Q74" s="63">
        <v>0.4</v>
      </c>
      <c r="R74" s="64">
        <f t="shared" si="10"/>
        <v>27.955200000000005</v>
      </c>
      <c r="S74" s="70">
        <v>50</v>
      </c>
      <c r="T74" s="710"/>
      <c r="U74" s="69" t="s">
        <v>385</v>
      </c>
      <c r="V74" s="61" t="s">
        <v>36</v>
      </c>
      <c r="W74" s="3" t="s">
        <v>30</v>
      </c>
      <c r="X74" s="63">
        <v>0.37</v>
      </c>
      <c r="Y74" s="64">
        <f t="shared" si="13"/>
        <v>25.858560000000004</v>
      </c>
      <c r="Z74" s="70">
        <v>41</v>
      </c>
      <c r="AA74" s="710"/>
      <c r="AB74" s="69" t="s">
        <v>419</v>
      </c>
      <c r="AC74" s="61" t="s">
        <v>40</v>
      </c>
      <c r="AD74" s="3" t="s">
        <v>30</v>
      </c>
      <c r="AE74" s="63">
        <v>0.65</v>
      </c>
      <c r="AF74" s="64">
        <f t="shared" si="12"/>
        <v>45.427200000000006</v>
      </c>
      <c r="AG74" s="70">
        <v>65</v>
      </c>
      <c r="AH74" s="710"/>
      <c r="AI74" s="710"/>
      <c r="AJ74" s="710"/>
    </row>
    <row r="75" spans="1:36">
      <c r="A75" s="710"/>
      <c r="B75" s="712"/>
      <c r="C75" s="712"/>
      <c r="D75" s="712"/>
      <c r="E75" s="712"/>
      <c r="F75" s="721"/>
      <c r="G75" s="69" t="s">
        <v>361</v>
      </c>
      <c r="H75" s="65" t="s">
        <v>149</v>
      </c>
      <c r="I75" s="62" t="s">
        <v>31</v>
      </c>
      <c r="J75" s="63">
        <v>0.32</v>
      </c>
      <c r="K75" s="64">
        <f t="shared" si="11"/>
        <v>22.364160000000002</v>
      </c>
      <c r="L75" s="70">
        <v>28</v>
      </c>
      <c r="M75" s="712"/>
      <c r="N75" s="69" t="s">
        <v>433</v>
      </c>
      <c r="O75" s="61" t="s">
        <v>100</v>
      </c>
      <c r="P75" s="3" t="s">
        <v>30</v>
      </c>
      <c r="Q75" s="63">
        <v>0.48</v>
      </c>
      <c r="R75" s="64">
        <f t="shared" si="10"/>
        <v>33.546240000000004</v>
      </c>
      <c r="S75" s="70">
        <v>48</v>
      </c>
      <c r="T75" s="710"/>
      <c r="U75" s="69" t="s">
        <v>418</v>
      </c>
      <c r="V75" s="61" t="s">
        <v>37</v>
      </c>
      <c r="W75" s="3" t="s">
        <v>30</v>
      </c>
      <c r="X75" s="63">
        <v>0.64</v>
      </c>
      <c r="Y75" s="64">
        <f t="shared" si="13"/>
        <v>44.728320000000004</v>
      </c>
      <c r="Z75" s="70">
        <v>54</v>
      </c>
      <c r="AA75" s="710"/>
      <c r="AB75" s="69" t="s">
        <v>386</v>
      </c>
      <c r="AC75" s="61" t="s">
        <v>41</v>
      </c>
      <c r="AD75" s="3" t="s">
        <v>30</v>
      </c>
      <c r="AE75" s="63">
        <v>0.62</v>
      </c>
      <c r="AF75" s="64">
        <f t="shared" si="12"/>
        <v>43.330560000000006</v>
      </c>
      <c r="AG75" s="70">
        <v>59</v>
      </c>
      <c r="AH75" s="710"/>
      <c r="AI75" s="710"/>
      <c r="AJ75" s="710"/>
    </row>
    <row r="76" spans="1:36">
      <c r="A76" s="710"/>
      <c r="B76" s="712"/>
      <c r="C76" s="712"/>
      <c r="D76" s="712"/>
      <c r="E76" s="712"/>
      <c r="F76" s="721"/>
      <c r="G76" s="69" t="s">
        <v>360</v>
      </c>
      <c r="H76" s="65" t="s">
        <v>151</v>
      </c>
      <c r="I76" s="62" t="s">
        <v>31</v>
      </c>
      <c r="J76" s="63">
        <v>0.39</v>
      </c>
      <c r="K76" s="64">
        <f t="shared" si="11"/>
        <v>27.256320000000002</v>
      </c>
      <c r="L76" s="70">
        <v>47</v>
      </c>
      <c r="M76" s="712"/>
      <c r="N76" s="69" t="s">
        <v>387</v>
      </c>
      <c r="O76" s="61" t="s">
        <v>58</v>
      </c>
      <c r="P76" s="3" t="s">
        <v>30</v>
      </c>
      <c r="Q76" s="63">
        <v>0.5</v>
      </c>
      <c r="R76" s="64">
        <f t="shared" si="10"/>
        <v>34.944000000000003</v>
      </c>
      <c r="S76" s="70">
        <v>56</v>
      </c>
      <c r="T76" s="710"/>
      <c r="U76" s="69" t="s">
        <v>419</v>
      </c>
      <c r="V76" s="61" t="s">
        <v>40</v>
      </c>
      <c r="W76" s="3" t="s">
        <v>30</v>
      </c>
      <c r="X76" s="63">
        <v>0.65</v>
      </c>
      <c r="Y76" s="64">
        <f t="shared" si="13"/>
        <v>45.427200000000006</v>
      </c>
      <c r="Z76" s="70">
        <v>65</v>
      </c>
      <c r="AA76" s="710"/>
      <c r="AB76" s="69" t="s">
        <v>27</v>
      </c>
      <c r="AC76" s="61" t="s">
        <v>48</v>
      </c>
      <c r="AD76" s="3" t="s">
        <v>30</v>
      </c>
      <c r="AE76" s="63">
        <v>0.38</v>
      </c>
      <c r="AF76" s="64">
        <f t="shared" si="12"/>
        <v>26.557440000000003</v>
      </c>
      <c r="AG76" s="70">
        <v>46</v>
      </c>
      <c r="AH76" s="710"/>
      <c r="AI76" s="710"/>
      <c r="AJ76" s="710"/>
    </row>
    <row r="77" spans="1:36">
      <c r="A77" s="710"/>
      <c r="B77" s="712"/>
      <c r="C77" s="712"/>
      <c r="D77" s="712"/>
      <c r="E77" s="712"/>
      <c r="F77" s="721"/>
      <c r="G77" s="69" t="s">
        <v>359</v>
      </c>
      <c r="H77" s="65" t="s">
        <v>139</v>
      </c>
      <c r="I77" s="62" t="s">
        <v>31</v>
      </c>
      <c r="J77" s="63">
        <v>0.45</v>
      </c>
      <c r="K77" s="64">
        <f t="shared" si="11"/>
        <v>31.4496</v>
      </c>
      <c r="L77" s="70">
        <v>44</v>
      </c>
      <c r="M77" s="712"/>
      <c r="N77" s="69" t="s">
        <v>388</v>
      </c>
      <c r="O77" s="61" t="s">
        <v>86</v>
      </c>
      <c r="P77" s="3" t="s">
        <v>30</v>
      </c>
      <c r="Q77" s="63">
        <v>0.63</v>
      </c>
      <c r="R77" s="64">
        <f t="shared" si="10"/>
        <v>44.029440000000001</v>
      </c>
      <c r="S77" s="70">
        <v>54</v>
      </c>
      <c r="T77" s="710"/>
      <c r="U77" s="69" t="s">
        <v>386</v>
      </c>
      <c r="V77" s="61" t="s">
        <v>41</v>
      </c>
      <c r="W77" s="3" t="s">
        <v>30</v>
      </c>
      <c r="X77" s="63">
        <v>0.62</v>
      </c>
      <c r="Y77" s="64">
        <f t="shared" si="13"/>
        <v>43.330560000000006</v>
      </c>
      <c r="Z77" s="70">
        <v>59</v>
      </c>
      <c r="AA77" s="710"/>
      <c r="AB77" s="69" t="s">
        <v>425</v>
      </c>
      <c r="AC77" s="61" t="s">
        <v>141</v>
      </c>
      <c r="AD77" s="62" t="s">
        <v>31</v>
      </c>
      <c r="AE77" s="63">
        <v>0.32</v>
      </c>
      <c r="AF77" s="64">
        <f t="shared" si="12"/>
        <v>22.364160000000002</v>
      </c>
      <c r="AG77" s="70">
        <v>36</v>
      </c>
      <c r="AH77" s="710"/>
      <c r="AI77" s="710"/>
      <c r="AJ77" s="710"/>
    </row>
    <row r="78" spans="1:36">
      <c r="A78" s="710"/>
      <c r="B78" s="712"/>
      <c r="C78" s="712"/>
      <c r="D78" s="712"/>
      <c r="E78" s="712"/>
      <c r="F78" s="721"/>
      <c r="G78" s="69" t="s">
        <v>358</v>
      </c>
      <c r="H78" s="65" t="s">
        <v>55</v>
      </c>
      <c r="I78" s="62" t="s">
        <v>31</v>
      </c>
      <c r="J78" s="63">
        <v>0.45</v>
      </c>
      <c r="K78" s="64">
        <f t="shared" si="11"/>
        <v>31.4496</v>
      </c>
      <c r="L78" s="70">
        <v>41</v>
      </c>
      <c r="M78" s="712"/>
      <c r="N78" s="69" t="s">
        <v>389</v>
      </c>
      <c r="O78" s="61" t="s">
        <v>87</v>
      </c>
      <c r="P78" s="3" t="s">
        <v>30</v>
      </c>
      <c r="Q78" s="63">
        <v>0.53</v>
      </c>
      <c r="R78" s="64">
        <f t="shared" si="10"/>
        <v>37.040640000000003</v>
      </c>
      <c r="S78" s="70">
        <v>53</v>
      </c>
      <c r="T78" s="710"/>
      <c r="U78" s="69" t="s">
        <v>27</v>
      </c>
      <c r="V78" s="61" t="s">
        <v>48</v>
      </c>
      <c r="W78" s="3" t="s">
        <v>30</v>
      </c>
      <c r="X78" s="63">
        <v>0.38</v>
      </c>
      <c r="Y78" s="64">
        <f t="shared" si="13"/>
        <v>26.557440000000003</v>
      </c>
      <c r="Z78" s="70">
        <v>46</v>
      </c>
      <c r="AA78" s="710"/>
      <c r="AB78" s="69" t="s">
        <v>372</v>
      </c>
      <c r="AC78" s="65" t="s">
        <v>142</v>
      </c>
      <c r="AD78" s="62" t="s">
        <v>31</v>
      </c>
      <c r="AE78" s="63">
        <v>0.47</v>
      </c>
      <c r="AF78" s="64">
        <f t="shared" si="12"/>
        <v>32.847360000000002</v>
      </c>
      <c r="AG78" s="70">
        <v>37</v>
      </c>
      <c r="AH78" s="710"/>
      <c r="AI78" s="710"/>
      <c r="AJ78" s="710"/>
    </row>
    <row r="79" spans="1:36">
      <c r="A79" s="710"/>
      <c r="B79" s="712"/>
      <c r="C79" s="712"/>
      <c r="D79" s="712"/>
      <c r="E79" s="712"/>
      <c r="F79" s="721"/>
      <c r="G79" s="69" t="s">
        <v>357</v>
      </c>
      <c r="H79" s="65" t="s">
        <v>137</v>
      </c>
      <c r="I79" s="62" t="s">
        <v>31</v>
      </c>
      <c r="J79" s="63">
        <v>0.52</v>
      </c>
      <c r="K79" s="64">
        <f t="shared" si="11"/>
        <v>36.341760000000001</v>
      </c>
      <c r="L79" s="70">
        <v>48</v>
      </c>
      <c r="M79" s="712"/>
      <c r="N79" s="69" t="s">
        <v>26</v>
      </c>
      <c r="O79" s="61" t="s">
        <v>88</v>
      </c>
      <c r="P79" s="3" t="s">
        <v>30</v>
      </c>
      <c r="Q79" s="63">
        <v>0.53</v>
      </c>
      <c r="R79" s="64">
        <f t="shared" si="10"/>
        <v>37.040640000000003</v>
      </c>
      <c r="S79" s="70">
        <v>50</v>
      </c>
      <c r="T79" s="710"/>
      <c r="U79" s="69" t="s">
        <v>425</v>
      </c>
      <c r="V79" s="61" t="s">
        <v>141</v>
      </c>
      <c r="W79" s="62" t="s">
        <v>31</v>
      </c>
      <c r="X79" s="63">
        <v>0.32</v>
      </c>
      <c r="Y79" s="64">
        <f t="shared" si="13"/>
        <v>22.364160000000002</v>
      </c>
      <c r="Z79" s="70">
        <v>36</v>
      </c>
      <c r="AA79" s="710"/>
      <c r="AB79" s="69" t="s">
        <v>369</v>
      </c>
      <c r="AC79" s="61" t="s">
        <v>49</v>
      </c>
      <c r="AD79" s="3" t="s">
        <v>30</v>
      </c>
      <c r="AE79" s="63">
        <v>0.5</v>
      </c>
      <c r="AF79" s="64">
        <f t="shared" si="12"/>
        <v>34.944000000000003</v>
      </c>
      <c r="AG79" s="70">
        <v>45</v>
      </c>
      <c r="AH79" s="710"/>
      <c r="AI79" s="710"/>
      <c r="AJ79" s="710"/>
    </row>
    <row r="80" spans="1:36">
      <c r="A80" s="710"/>
      <c r="B80" s="712"/>
      <c r="C80" s="712"/>
      <c r="D80" s="712"/>
      <c r="E80" s="712"/>
      <c r="F80" s="721"/>
      <c r="G80" s="69" t="s">
        <v>356</v>
      </c>
      <c r="H80" s="65" t="s">
        <v>155</v>
      </c>
      <c r="I80" s="62" t="s">
        <v>31</v>
      </c>
      <c r="J80" s="63">
        <v>0.41</v>
      </c>
      <c r="K80" s="64">
        <f t="shared" si="11"/>
        <v>28.654080000000004</v>
      </c>
      <c r="L80" s="70">
        <v>39</v>
      </c>
      <c r="M80" s="712"/>
      <c r="N80" s="69" t="s">
        <v>415</v>
      </c>
      <c r="O80" s="65" t="s">
        <v>138</v>
      </c>
      <c r="P80" s="62" t="s">
        <v>31</v>
      </c>
      <c r="Q80" s="63">
        <v>0.4</v>
      </c>
      <c r="R80" s="64">
        <f t="shared" si="10"/>
        <v>27.955200000000005</v>
      </c>
      <c r="S80" s="70">
        <v>50</v>
      </c>
      <c r="T80" s="710"/>
      <c r="U80" s="69" t="s">
        <v>372</v>
      </c>
      <c r="V80" s="65" t="s">
        <v>142</v>
      </c>
      <c r="W80" s="62" t="s">
        <v>31</v>
      </c>
      <c r="X80" s="63">
        <v>0.47</v>
      </c>
      <c r="Y80" s="64">
        <f t="shared" si="13"/>
        <v>32.847360000000002</v>
      </c>
      <c r="Z80" s="70">
        <v>37</v>
      </c>
      <c r="AA80" s="710"/>
      <c r="AB80" s="69" t="s">
        <v>420</v>
      </c>
      <c r="AC80" s="61" t="s">
        <v>50</v>
      </c>
      <c r="AD80" s="3" t="s">
        <v>30</v>
      </c>
      <c r="AE80" s="63">
        <v>0.43</v>
      </c>
      <c r="AF80" s="64">
        <f t="shared" si="12"/>
        <v>30.051840000000002</v>
      </c>
      <c r="AG80" s="70">
        <v>55</v>
      </c>
      <c r="AH80" s="710"/>
      <c r="AI80" s="710"/>
      <c r="AJ80" s="710"/>
    </row>
    <row r="81" spans="1:36">
      <c r="A81" s="710"/>
      <c r="B81" s="712"/>
      <c r="C81" s="712"/>
      <c r="D81" s="712"/>
      <c r="E81" s="712"/>
      <c r="F81" s="721"/>
      <c r="G81" s="69" t="s">
        <v>355</v>
      </c>
      <c r="H81" s="65" t="s">
        <v>159</v>
      </c>
      <c r="I81" s="62" t="s">
        <v>31</v>
      </c>
      <c r="J81" s="63">
        <v>0.4</v>
      </c>
      <c r="K81" s="64">
        <f t="shared" si="11"/>
        <v>27.955200000000005</v>
      </c>
      <c r="L81" s="70">
        <v>45</v>
      </c>
      <c r="M81" s="712"/>
      <c r="N81" s="69" t="s">
        <v>390</v>
      </c>
      <c r="O81" s="61" t="s">
        <v>89</v>
      </c>
      <c r="P81" s="3" t="s">
        <v>30</v>
      </c>
      <c r="Q81" s="63">
        <v>0.66</v>
      </c>
      <c r="R81" s="64">
        <f t="shared" si="10"/>
        <v>46.126080000000002</v>
      </c>
      <c r="S81" s="70">
        <v>64</v>
      </c>
      <c r="T81" s="710"/>
      <c r="U81" s="69" t="s">
        <v>369</v>
      </c>
      <c r="V81" s="61" t="s">
        <v>49</v>
      </c>
      <c r="W81" s="3" t="s">
        <v>30</v>
      </c>
      <c r="X81" s="63">
        <v>0.5</v>
      </c>
      <c r="Y81" s="64">
        <f t="shared" si="13"/>
        <v>34.944000000000003</v>
      </c>
      <c r="Z81" s="70">
        <v>45</v>
      </c>
      <c r="AA81" s="710"/>
      <c r="AB81" s="69" t="s">
        <v>370</v>
      </c>
      <c r="AC81" s="61" t="s">
        <v>44</v>
      </c>
      <c r="AD81" s="3" t="s">
        <v>30</v>
      </c>
      <c r="AE81" s="63">
        <v>0.4</v>
      </c>
      <c r="AF81" s="64">
        <f t="shared" si="12"/>
        <v>27.955200000000005</v>
      </c>
      <c r="AG81" s="70">
        <v>50</v>
      </c>
      <c r="AH81" s="710"/>
      <c r="AI81" s="710"/>
      <c r="AJ81" s="710"/>
    </row>
    <row r="82" spans="1:36">
      <c r="A82" s="710"/>
      <c r="B82" s="712"/>
      <c r="C82" s="712"/>
      <c r="D82" s="712"/>
      <c r="E82" s="712"/>
      <c r="F82" s="721"/>
      <c r="G82" s="69" t="s">
        <v>353</v>
      </c>
      <c r="H82" s="65" t="s">
        <v>167</v>
      </c>
      <c r="I82" s="62" t="s">
        <v>31</v>
      </c>
      <c r="J82" s="63">
        <v>0.38</v>
      </c>
      <c r="K82" s="64">
        <f t="shared" si="11"/>
        <v>26.557440000000003</v>
      </c>
      <c r="L82" s="70">
        <v>35</v>
      </c>
      <c r="M82" s="712"/>
      <c r="N82" s="69" t="s">
        <v>393</v>
      </c>
      <c r="O82" s="61" t="s">
        <v>93</v>
      </c>
      <c r="P82" s="3" t="s">
        <v>30</v>
      </c>
      <c r="Q82" s="63">
        <v>0.72</v>
      </c>
      <c r="R82" s="64">
        <f t="shared" si="10"/>
        <v>50.319360000000003</v>
      </c>
      <c r="S82" s="70">
        <v>65</v>
      </c>
      <c r="T82" s="710"/>
      <c r="U82" s="69" t="s">
        <v>420</v>
      </c>
      <c r="V82" s="61" t="s">
        <v>50</v>
      </c>
      <c r="W82" s="3" t="s">
        <v>30</v>
      </c>
      <c r="X82" s="63">
        <v>0.43</v>
      </c>
      <c r="Y82" s="64">
        <f t="shared" si="13"/>
        <v>30.051840000000002</v>
      </c>
      <c r="Z82" s="70">
        <v>55</v>
      </c>
      <c r="AA82" s="710"/>
      <c r="AB82" s="69" t="s">
        <v>433</v>
      </c>
      <c r="AC82" s="61" t="s">
        <v>100</v>
      </c>
      <c r="AD82" s="3" t="s">
        <v>30</v>
      </c>
      <c r="AE82" s="63">
        <v>0.48</v>
      </c>
      <c r="AF82" s="64">
        <f t="shared" si="12"/>
        <v>33.546240000000004</v>
      </c>
      <c r="AG82" s="70">
        <v>48</v>
      </c>
      <c r="AH82" s="710"/>
      <c r="AI82" s="710"/>
      <c r="AJ82" s="710"/>
    </row>
    <row r="83" spans="1:36">
      <c r="A83" s="710"/>
      <c r="B83" s="712"/>
      <c r="C83" s="712"/>
      <c r="D83" s="712"/>
      <c r="E83" s="712"/>
      <c r="F83" s="721"/>
      <c r="G83" s="71" t="s">
        <v>352</v>
      </c>
      <c r="H83" s="117" t="s">
        <v>134</v>
      </c>
      <c r="I83" s="118" t="s">
        <v>31</v>
      </c>
      <c r="J83" s="67">
        <v>0.35</v>
      </c>
      <c r="K83" s="68">
        <f t="shared" si="11"/>
        <v>24.460800000000003</v>
      </c>
      <c r="L83" s="72">
        <v>39</v>
      </c>
      <c r="M83" s="712"/>
      <c r="N83" s="69" t="s">
        <v>431</v>
      </c>
      <c r="O83" s="61" t="s">
        <v>90</v>
      </c>
      <c r="P83" s="3" t="s">
        <v>30</v>
      </c>
      <c r="Q83" s="63">
        <v>0.6</v>
      </c>
      <c r="R83" s="64">
        <f t="shared" si="10"/>
        <v>41.9328</v>
      </c>
      <c r="S83" s="70">
        <v>62</v>
      </c>
      <c r="T83" s="710"/>
      <c r="U83" s="69" t="s">
        <v>370</v>
      </c>
      <c r="V83" s="61" t="s">
        <v>44</v>
      </c>
      <c r="W83" s="3" t="s">
        <v>30</v>
      </c>
      <c r="X83" s="63">
        <v>0.4</v>
      </c>
      <c r="Y83" s="64">
        <f t="shared" si="13"/>
        <v>27.955200000000005</v>
      </c>
      <c r="Z83" s="70">
        <v>50</v>
      </c>
      <c r="AA83" s="710"/>
      <c r="AB83" s="69" t="s">
        <v>387</v>
      </c>
      <c r="AC83" s="61" t="s">
        <v>58</v>
      </c>
      <c r="AD83" s="3" t="s">
        <v>30</v>
      </c>
      <c r="AE83" s="63">
        <v>0.5</v>
      </c>
      <c r="AF83" s="64">
        <f t="shared" si="12"/>
        <v>34.944000000000003</v>
      </c>
      <c r="AG83" s="70">
        <v>56</v>
      </c>
      <c r="AH83" s="710"/>
      <c r="AI83" s="710"/>
      <c r="AJ83" s="710"/>
    </row>
    <row r="84" spans="1:36">
      <c r="A84" s="710"/>
      <c r="B84" s="712"/>
      <c r="C84" s="712"/>
      <c r="D84" s="712"/>
      <c r="E84" s="712"/>
      <c r="F84" s="721"/>
      <c r="G84" s="71" t="s">
        <v>344</v>
      </c>
      <c r="H84" s="66" t="s">
        <v>112</v>
      </c>
      <c r="I84" s="32" t="s">
        <v>30</v>
      </c>
      <c r="J84" s="67">
        <v>0.39</v>
      </c>
      <c r="K84" s="68">
        <f t="shared" si="11"/>
        <v>27.256320000000002</v>
      </c>
      <c r="L84" s="72">
        <v>51</v>
      </c>
      <c r="M84" s="712"/>
      <c r="N84" s="69" t="s">
        <v>394</v>
      </c>
      <c r="O84" s="61" t="s">
        <v>94</v>
      </c>
      <c r="P84" s="3" t="s">
        <v>30</v>
      </c>
      <c r="Q84" s="63">
        <v>0.75</v>
      </c>
      <c r="R84" s="64">
        <f t="shared" si="10"/>
        <v>52.416000000000004</v>
      </c>
      <c r="S84" s="70">
        <v>68</v>
      </c>
      <c r="T84" s="710"/>
      <c r="U84" s="69" t="s">
        <v>433</v>
      </c>
      <c r="V84" s="61" t="s">
        <v>100</v>
      </c>
      <c r="W84" s="3" t="s">
        <v>30</v>
      </c>
      <c r="X84" s="63">
        <v>0.48</v>
      </c>
      <c r="Y84" s="64">
        <f t="shared" si="13"/>
        <v>33.546240000000004</v>
      </c>
      <c r="Z84" s="70">
        <v>48</v>
      </c>
      <c r="AA84" s="710"/>
      <c r="AB84" s="69" t="s">
        <v>389</v>
      </c>
      <c r="AC84" s="61" t="s">
        <v>87</v>
      </c>
      <c r="AD84" s="3" t="s">
        <v>30</v>
      </c>
      <c r="AE84" s="63">
        <v>0.53</v>
      </c>
      <c r="AF84" s="64">
        <f t="shared" si="12"/>
        <v>37.040640000000003</v>
      </c>
      <c r="AG84" s="70">
        <v>53</v>
      </c>
      <c r="AH84" s="710"/>
      <c r="AI84" s="710"/>
      <c r="AJ84" s="710"/>
    </row>
    <row r="85" spans="1:36" ht="13.5" thickBot="1">
      <c r="A85" s="710"/>
      <c r="B85" s="712"/>
      <c r="C85" s="712"/>
      <c r="D85" s="712"/>
      <c r="E85" s="712"/>
      <c r="F85" s="721"/>
      <c r="G85" s="215" t="s">
        <v>188</v>
      </c>
      <c r="H85" s="216" t="s">
        <v>189</v>
      </c>
      <c r="I85" s="217" t="s">
        <v>168</v>
      </c>
      <c r="J85" s="218" t="s">
        <v>168</v>
      </c>
      <c r="K85" s="242" t="s">
        <v>168</v>
      </c>
      <c r="L85" s="219" t="s">
        <v>168</v>
      </c>
      <c r="M85" s="712"/>
      <c r="N85" s="69" t="s">
        <v>395</v>
      </c>
      <c r="O85" s="61" t="s">
        <v>95</v>
      </c>
      <c r="P85" s="3" t="s">
        <v>30</v>
      </c>
      <c r="Q85" s="63">
        <v>0.72</v>
      </c>
      <c r="R85" s="64">
        <f t="shared" si="10"/>
        <v>50.319360000000003</v>
      </c>
      <c r="S85" s="70">
        <v>64</v>
      </c>
      <c r="T85" s="710"/>
      <c r="U85" s="69" t="s">
        <v>387</v>
      </c>
      <c r="V85" s="61" t="s">
        <v>58</v>
      </c>
      <c r="W85" s="3" t="s">
        <v>30</v>
      </c>
      <c r="X85" s="63">
        <v>0.5</v>
      </c>
      <c r="Y85" s="64">
        <f t="shared" si="13"/>
        <v>34.944000000000003</v>
      </c>
      <c r="Z85" s="70">
        <v>56</v>
      </c>
      <c r="AA85" s="710"/>
      <c r="AB85" s="69" t="s">
        <v>26</v>
      </c>
      <c r="AC85" s="61" t="s">
        <v>88</v>
      </c>
      <c r="AD85" s="3" t="s">
        <v>30</v>
      </c>
      <c r="AE85" s="63">
        <v>0.53</v>
      </c>
      <c r="AF85" s="64">
        <f t="shared" si="12"/>
        <v>37.040640000000003</v>
      </c>
      <c r="AG85" s="70">
        <v>50</v>
      </c>
      <c r="AH85" s="710"/>
      <c r="AI85" s="710"/>
      <c r="AJ85" s="710"/>
    </row>
    <row r="86" spans="1:36">
      <c r="A86" s="710"/>
      <c r="B86" s="712"/>
      <c r="C86" s="712"/>
      <c r="D86" s="712"/>
      <c r="E86" s="712"/>
      <c r="F86" s="721"/>
      <c r="G86" s="730"/>
      <c r="H86" s="731"/>
      <c r="I86" s="732"/>
      <c r="J86" s="733"/>
      <c r="K86" s="733"/>
      <c r="L86" s="733"/>
      <c r="M86" s="712"/>
      <c r="N86" s="69" t="s">
        <v>396</v>
      </c>
      <c r="O86" s="61" t="s">
        <v>96</v>
      </c>
      <c r="P86" s="3" t="s">
        <v>30</v>
      </c>
      <c r="Q86" s="63">
        <v>0.69</v>
      </c>
      <c r="R86" s="64">
        <f t="shared" si="10"/>
        <v>48.222720000000002</v>
      </c>
      <c r="S86" s="70">
        <v>64</v>
      </c>
      <c r="T86" s="710"/>
      <c r="U86" s="69" t="s">
        <v>389</v>
      </c>
      <c r="V86" s="61" t="s">
        <v>87</v>
      </c>
      <c r="W86" s="3" t="s">
        <v>30</v>
      </c>
      <c r="X86" s="63">
        <v>0.53</v>
      </c>
      <c r="Y86" s="64">
        <f t="shared" si="13"/>
        <v>37.040640000000003</v>
      </c>
      <c r="Z86" s="70">
        <v>53</v>
      </c>
      <c r="AA86" s="710"/>
      <c r="AB86" s="69" t="s">
        <v>415</v>
      </c>
      <c r="AC86" s="65" t="s">
        <v>138</v>
      </c>
      <c r="AD86" s="62" t="s">
        <v>31</v>
      </c>
      <c r="AE86" s="63">
        <v>0.4</v>
      </c>
      <c r="AF86" s="64">
        <f t="shared" si="12"/>
        <v>27.955200000000005</v>
      </c>
      <c r="AG86" s="70">
        <v>50</v>
      </c>
      <c r="AH86" s="710"/>
      <c r="AI86" s="710"/>
      <c r="AJ86" s="710"/>
    </row>
    <row r="87" spans="1:36">
      <c r="A87" s="710"/>
      <c r="B87" s="712"/>
      <c r="C87" s="712"/>
      <c r="D87" s="712"/>
      <c r="E87" s="712"/>
      <c r="F87" s="721"/>
      <c r="G87" s="730"/>
      <c r="H87" s="731"/>
      <c r="I87" s="732"/>
      <c r="J87" s="733"/>
      <c r="K87" s="733"/>
      <c r="L87" s="733"/>
      <c r="M87" s="712"/>
      <c r="N87" s="69" t="s">
        <v>432</v>
      </c>
      <c r="O87" s="61" t="s">
        <v>92</v>
      </c>
      <c r="P87" s="3" t="s">
        <v>30</v>
      </c>
      <c r="Q87" s="63">
        <v>0.62</v>
      </c>
      <c r="R87" s="64">
        <f t="shared" si="10"/>
        <v>43.330560000000006</v>
      </c>
      <c r="S87" s="70">
        <v>70</v>
      </c>
      <c r="T87" s="710"/>
      <c r="U87" s="69" t="s">
        <v>26</v>
      </c>
      <c r="V87" s="61" t="s">
        <v>88</v>
      </c>
      <c r="W87" s="3" t="s">
        <v>30</v>
      </c>
      <c r="X87" s="63">
        <v>0.53</v>
      </c>
      <c r="Y87" s="64">
        <f t="shared" si="13"/>
        <v>37.040640000000003</v>
      </c>
      <c r="Z87" s="70">
        <v>50</v>
      </c>
      <c r="AA87" s="710"/>
      <c r="AB87" s="69" t="s">
        <v>390</v>
      </c>
      <c r="AC87" s="61" t="s">
        <v>89</v>
      </c>
      <c r="AD87" s="3" t="s">
        <v>30</v>
      </c>
      <c r="AE87" s="63">
        <v>0.66</v>
      </c>
      <c r="AF87" s="64">
        <f t="shared" si="12"/>
        <v>46.126080000000002</v>
      </c>
      <c r="AG87" s="70">
        <v>64</v>
      </c>
      <c r="AH87" s="710"/>
      <c r="AI87" s="710"/>
      <c r="AJ87" s="710"/>
    </row>
    <row r="88" spans="1:36">
      <c r="A88" s="710"/>
      <c r="B88" s="712"/>
      <c r="C88" s="712"/>
      <c r="D88" s="712"/>
      <c r="E88" s="712"/>
      <c r="F88" s="721"/>
      <c r="G88" s="730"/>
      <c r="H88" s="731"/>
      <c r="I88" s="732"/>
      <c r="J88" s="733"/>
      <c r="K88" s="733"/>
      <c r="L88" s="733"/>
      <c r="M88" s="712"/>
      <c r="N88" s="69" t="s">
        <v>97</v>
      </c>
      <c r="O88" s="61" t="s">
        <v>98</v>
      </c>
      <c r="P88" s="3" t="s">
        <v>30</v>
      </c>
      <c r="Q88" s="63">
        <v>0.65</v>
      </c>
      <c r="R88" s="64">
        <f t="shared" si="10"/>
        <v>45.427200000000006</v>
      </c>
      <c r="S88" s="70">
        <v>60</v>
      </c>
      <c r="T88" s="710"/>
      <c r="U88" s="69" t="s">
        <v>415</v>
      </c>
      <c r="V88" s="65" t="s">
        <v>138</v>
      </c>
      <c r="W88" s="62" t="s">
        <v>31</v>
      </c>
      <c r="X88" s="63">
        <v>0.4</v>
      </c>
      <c r="Y88" s="64">
        <f t="shared" si="13"/>
        <v>27.955200000000005</v>
      </c>
      <c r="Z88" s="70">
        <v>50</v>
      </c>
      <c r="AA88" s="710"/>
      <c r="AB88" s="69" t="s">
        <v>393</v>
      </c>
      <c r="AC88" s="61" t="s">
        <v>93</v>
      </c>
      <c r="AD88" s="3" t="s">
        <v>30</v>
      </c>
      <c r="AE88" s="63">
        <v>0.72</v>
      </c>
      <c r="AF88" s="64">
        <f t="shared" si="12"/>
        <v>50.319360000000003</v>
      </c>
      <c r="AG88" s="70">
        <v>65</v>
      </c>
      <c r="AH88" s="710"/>
      <c r="AI88" s="710"/>
      <c r="AJ88" s="710"/>
    </row>
    <row r="89" spans="1:36">
      <c r="A89" s="710"/>
      <c r="B89" s="712"/>
      <c r="C89" s="712"/>
      <c r="D89" s="712"/>
      <c r="E89" s="712"/>
      <c r="F89" s="721"/>
      <c r="G89" s="730"/>
      <c r="H89" s="731"/>
      <c r="I89" s="732"/>
      <c r="J89" s="733"/>
      <c r="K89" s="733"/>
      <c r="L89" s="733"/>
      <c r="M89" s="712"/>
      <c r="N89" s="69" t="s">
        <v>397</v>
      </c>
      <c r="O89" s="61" t="s">
        <v>99</v>
      </c>
      <c r="P89" s="3" t="s">
        <v>30</v>
      </c>
      <c r="Q89" s="63">
        <v>0.69</v>
      </c>
      <c r="R89" s="64">
        <f t="shared" si="10"/>
        <v>48.222720000000002</v>
      </c>
      <c r="S89" s="70">
        <v>58</v>
      </c>
      <c r="T89" s="710"/>
      <c r="U89" s="69" t="s">
        <v>390</v>
      </c>
      <c r="V89" s="61" t="s">
        <v>89</v>
      </c>
      <c r="W89" s="3" t="s">
        <v>30</v>
      </c>
      <c r="X89" s="63">
        <v>0.66</v>
      </c>
      <c r="Y89" s="64">
        <f t="shared" si="13"/>
        <v>46.126080000000002</v>
      </c>
      <c r="Z89" s="70">
        <v>64</v>
      </c>
      <c r="AA89" s="710"/>
      <c r="AB89" s="69" t="s">
        <v>394</v>
      </c>
      <c r="AC89" s="61" t="s">
        <v>94</v>
      </c>
      <c r="AD89" s="3" t="s">
        <v>30</v>
      </c>
      <c r="AE89" s="63">
        <v>0.75</v>
      </c>
      <c r="AF89" s="64">
        <f t="shared" si="12"/>
        <v>52.416000000000004</v>
      </c>
      <c r="AG89" s="70">
        <v>68</v>
      </c>
      <c r="AH89" s="710"/>
      <c r="AI89" s="710"/>
      <c r="AJ89" s="710"/>
    </row>
    <row r="90" spans="1:36">
      <c r="A90" s="710"/>
      <c r="B90" s="712"/>
      <c r="C90" s="712"/>
      <c r="D90" s="712"/>
      <c r="E90" s="712"/>
      <c r="F90" s="721"/>
      <c r="G90" s="710"/>
      <c r="H90" s="710"/>
      <c r="I90" s="710"/>
      <c r="J90" s="712"/>
      <c r="K90" s="712"/>
      <c r="L90" s="712"/>
      <c r="M90" s="712"/>
      <c r="N90" s="69" t="s">
        <v>434</v>
      </c>
      <c r="O90" s="61" t="s">
        <v>101</v>
      </c>
      <c r="P90" s="3" t="s">
        <v>30</v>
      </c>
      <c r="Q90" s="63">
        <v>0.5</v>
      </c>
      <c r="R90" s="64">
        <f t="shared" si="10"/>
        <v>34.944000000000003</v>
      </c>
      <c r="S90" s="70">
        <v>59</v>
      </c>
      <c r="T90" s="710"/>
      <c r="U90" s="69" t="s">
        <v>393</v>
      </c>
      <c r="V90" s="61" t="s">
        <v>93</v>
      </c>
      <c r="W90" s="3" t="s">
        <v>30</v>
      </c>
      <c r="X90" s="63">
        <v>0.72</v>
      </c>
      <c r="Y90" s="64">
        <f t="shared" si="13"/>
        <v>50.319360000000003</v>
      </c>
      <c r="Z90" s="70">
        <v>65</v>
      </c>
      <c r="AA90" s="710"/>
      <c r="AB90" s="69" t="s">
        <v>395</v>
      </c>
      <c r="AC90" s="61" t="s">
        <v>95</v>
      </c>
      <c r="AD90" s="3" t="s">
        <v>30</v>
      </c>
      <c r="AE90" s="63">
        <v>0.72</v>
      </c>
      <c r="AF90" s="64">
        <f t="shared" si="12"/>
        <v>50.319360000000003</v>
      </c>
      <c r="AG90" s="70">
        <v>64</v>
      </c>
      <c r="AH90" s="710"/>
      <c r="AI90" s="710"/>
      <c r="AJ90" s="710"/>
    </row>
    <row r="91" spans="1:36">
      <c r="A91" s="710"/>
      <c r="B91" s="712"/>
      <c r="C91" s="712"/>
      <c r="D91" s="712"/>
      <c r="E91" s="712"/>
      <c r="F91" s="721"/>
      <c r="G91" s="710"/>
      <c r="H91" s="710"/>
      <c r="I91" s="710"/>
      <c r="J91" s="712"/>
      <c r="K91" s="712"/>
      <c r="L91" s="712"/>
      <c r="M91" s="712"/>
      <c r="N91" s="69" t="s">
        <v>398</v>
      </c>
      <c r="O91" s="61" t="s">
        <v>102</v>
      </c>
      <c r="P91" s="3" t="s">
        <v>30</v>
      </c>
      <c r="Q91" s="63">
        <v>0.56999999999999995</v>
      </c>
      <c r="R91" s="64">
        <f t="shared" si="10"/>
        <v>39.83616</v>
      </c>
      <c r="S91" s="70">
        <v>55</v>
      </c>
      <c r="T91" s="710"/>
      <c r="U91" s="69" t="s">
        <v>431</v>
      </c>
      <c r="V91" s="61" t="s">
        <v>90</v>
      </c>
      <c r="W91" s="3" t="s">
        <v>30</v>
      </c>
      <c r="X91" s="63">
        <v>0.6</v>
      </c>
      <c r="Y91" s="64">
        <f t="shared" si="13"/>
        <v>41.9328</v>
      </c>
      <c r="Z91" s="70">
        <v>62</v>
      </c>
      <c r="AA91" s="710"/>
      <c r="AB91" s="69" t="s">
        <v>397</v>
      </c>
      <c r="AC91" s="61" t="s">
        <v>99</v>
      </c>
      <c r="AD91" s="3" t="s">
        <v>30</v>
      </c>
      <c r="AE91" s="63">
        <v>0.69</v>
      </c>
      <c r="AF91" s="64">
        <f t="shared" si="12"/>
        <v>48.222720000000002</v>
      </c>
      <c r="AG91" s="70">
        <v>58</v>
      </c>
      <c r="AH91" s="710"/>
      <c r="AI91" s="710"/>
      <c r="AJ91" s="710"/>
    </row>
    <row r="92" spans="1:36">
      <c r="A92" s="710"/>
      <c r="B92" s="712"/>
      <c r="C92" s="712"/>
      <c r="D92" s="712"/>
      <c r="E92" s="712"/>
      <c r="F92" s="721"/>
      <c r="G92" s="710"/>
      <c r="H92" s="710"/>
      <c r="I92" s="710"/>
      <c r="J92" s="712"/>
      <c r="K92" s="712"/>
      <c r="L92" s="712"/>
      <c r="M92" s="712"/>
      <c r="N92" s="69" t="s">
        <v>399</v>
      </c>
      <c r="O92" s="61" t="s">
        <v>103</v>
      </c>
      <c r="P92" s="3" t="s">
        <v>30</v>
      </c>
      <c r="Q92" s="63">
        <v>0.54</v>
      </c>
      <c r="R92" s="64">
        <f t="shared" si="10"/>
        <v>37.739519999999999</v>
      </c>
      <c r="S92" s="70">
        <v>50</v>
      </c>
      <c r="T92" s="710"/>
      <c r="U92" s="69" t="s">
        <v>394</v>
      </c>
      <c r="V92" s="61" t="s">
        <v>94</v>
      </c>
      <c r="W92" s="3" t="s">
        <v>30</v>
      </c>
      <c r="X92" s="63">
        <v>0.75</v>
      </c>
      <c r="Y92" s="64">
        <f t="shared" si="13"/>
        <v>52.416000000000004</v>
      </c>
      <c r="Z92" s="70">
        <v>68</v>
      </c>
      <c r="AA92" s="710"/>
      <c r="AB92" s="69" t="s">
        <v>399</v>
      </c>
      <c r="AC92" s="61" t="s">
        <v>103</v>
      </c>
      <c r="AD92" s="3" t="s">
        <v>30</v>
      </c>
      <c r="AE92" s="63">
        <v>0.54</v>
      </c>
      <c r="AF92" s="64">
        <f t="shared" si="12"/>
        <v>37.739519999999999</v>
      </c>
      <c r="AG92" s="70">
        <v>50</v>
      </c>
      <c r="AH92" s="710"/>
      <c r="AI92" s="710"/>
      <c r="AJ92" s="710"/>
    </row>
    <row r="93" spans="1:36">
      <c r="A93" s="710"/>
      <c r="B93" s="712"/>
      <c r="C93" s="712"/>
      <c r="D93" s="712"/>
      <c r="E93" s="712"/>
      <c r="F93" s="721"/>
      <c r="G93" s="710"/>
      <c r="H93" s="710"/>
      <c r="I93" s="710"/>
      <c r="J93" s="712"/>
      <c r="K93" s="712"/>
      <c r="L93" s="712"/>
      <c r="M93" s="712"/>
      <c r="N93" s="69" t="s">
        <v>400</v>
      </c>
      <c r="O93" s="61" t="s">
        <v>104</v>
      </c>
      <c r="P93" s="3" t="s">
        <v>30</v>
      </c>
      <c r="Q93" s="63">
        <v>0.47</v>
      </c>
      <c r="R93" s="64">
        <f t="shared" ref="R93:R124" si="14">Q93*62.4*1.12</f>
        <v>32.847360000000002</v>
      </c>
      <c r="S93" s="70">
        <v>46</v>
      </c>
      <c r="T93" s="710"/>
      <c r="U93" s="69" t="s">
        <v>395</v>
      </c>
      <c r="V93" s="61" t="s">
        <v>95</v>
      </c>
      <c r="W93" s="3" t="s">
        <v>30</v>
      </c>
      <c r="X93" s="63">
        <v>0.72</v>
      </c>
      <c r="Y93" s="64">
        <f t="shared" si="13"/>
        <v>50.319360000000003</v>
      </c>
      <c r="Z93" s="70">
        <v>64</v>
      </c>
      <c r="AA93" s="710"/>
      <c r="AB93" s="69" t="s">
        <v>400</v>
      </c>
      <c r="AC93" s="61" t="s">
        <v>104</v>
      </c>
      <c r="AD93" s="3" t="s">
        <v>30</v>
      </c>
      <c r="AE93" s="63">
        <v>0.47</v>
      </c>
      <c r="AF93" s="64">
        <f t="shared" si="12"/>
        <v>32.847360000000002</v>
      </c>
      <c r="AG93" s="70">
        <v>46</v>
      </c>
      <c r="AH93" s="710"/>
      <c r="AI93" s="710"/>
      <c r="AJ93" s="710"/>
    </row>
    <row r="94" spans="1:36">
      <c r="A94" s="710"/>
      <c r="B94" s="712"/>
      <c r="C94" s="712"/>
      <c r="D94" s="712"/>
      <c r="E94" s="712"/>
      <c r="F94" s="721"/>
      <c r="G94" s="710"/>
      <c r="H94" s="710"/>
      <c r="I94" s="710"/>
      <c r="J94" s="712"/>
      <c r="K94" s="712"/>
      <c r="L94" s="712"/>
      <c r="M94" s="712"/>
      <c r="N94" s="69" t="s">
        <v>401</v>
      </c>
      <c r="O94" s="61" t="s">
        <v>105</v>
      </c>
      <c r="P94" s="3" t="s">
        <v>30</v>
      </c>
      <c r="Q94" s="63">
        <v>0.63</v>
      </c>
      <c r="R94" s="64">
        <f t="shared" si="14"/>
        <v>44.029440000000001</v>
      </c>
      <c r="S94" s="70">
        <v>55</v>
      </c>
      <c r="T94" s="710"/>
      <c r="U94" s="69" t="s">
        <v>432</v>
      </c>
      <c r="V94" s="61" t="s">
        <v>92</v>
      </c>
      <c r="W94" s="3" t="s">
        <v>30</v>
      </c>
      <c r="X94" s="63">
        <v>0.62</v>
      </c>
      <c r="Y94" s="64">
        <f t="shared" si="13"/>
        <v>43.330560000000006</v>
      </c>
      <c r="Z94" s="70">
        <v>70</v>
      </c>
      <c r="AA94" s="710"/>
      <c r="AB94" s="69" t="s">
        <v>401</v>
      </c>
      <c r="AC94" s="61" t="s">
        <v>105</v>
      </c>
      <c r="AD94" s="3" t="s">
        <v>30</v>
      </c>
      <c r="AE94" s="63">
        <v>0.63</v>
      </c>
      <c r="AF94" s="64">
        <f t="shared" si="12"/>
        <v>44.029440000000001</v>
      </c>
      <c r="AG94" s="70">
        <v>55</v>
      </c>
      <c r="AH94" s="710"/>
      <c r="AI94" s="710"/>
      <c r="AJ94" s="710"/>
    </row>
    <row r="95" spans="1:36" ht="15">
      <c r="A95" s="710"/>
      <c r="B95" s="712"/>
      <c r="C95" s="712"/>
      <c r="D95" s="712"/>
      <c r="E95" s="712"/>
      <c r="F95" s="726"/>
      <c r="G95" s="710"/>
      <c r="H95" s="710"/>
      <c r="I95" s="710"/>
      <c r="J95" s="712"/>
      <c r="K95" s="712"/>
      <c r="L95" s="712"/>
      <c r="M95" s="712"/>
      <c r="N95" s="69" t="s">
        <v>402</v>
      </c>
      <c r="O95" s="61" t="s">
        <v>117</v>
      </c>
      <c r="P95" s="3" t="s">
        <v>30</v>
      </c>
      <c r="Q95" s="63">
        <v>0.61</v>
      </c>
      <c r="R95" s="64">
        <f t="shared" si="14"/>
        <v>42.631680000000003</v>
      </c>
      <c r="S95" s="70">
        <v>64</v>
      </c>
      <c r="T95" s="710"/>
      <c r="U95" s="69" t="s">
        <v>397</v>
      </c>
      <c r="V95" s="61" t="s">
        <v>99</v>
      </c>
      <c r="W95" s="3" t="s">
        <v>30</v>
      </c>
      <c r="X95" s="63">
        <v>0.69</v>
      </c>
      <c r="Y95" s="64">
        <f t="shared" si="13"/>
        <v>48.222720000000002</v>
      </c>
      <c r="Z95" s="70">
        <v>58</v>
      </c>
      <c r="AA95" s="710"/>
      <c r="AB95" s="69" t="s">
        <v>402</v>
      </c>
      <c r="AC95" s="61" t="s">
        <v>117</v>
      </c>
      <c r="AD95" s="3" t="s">
        <v>30</v>
      </c>
      <c r="AE95" s="63">
        <v>0.61</v>
      </c>
      <c r="AF95" s="64">
        <f t="shared" si="12"/>
        <v>42.631680000000003</v>
      </c>
      <c r="AG95" s="70">
        <v>64</v>
      </c>
      <c r="AH95" s="710"/>
      <c r="AI95" s="710"/>
      <c r="AJ95" s="710"/>
    </row>
    <row r="96" spans="1:36" ht="15">
      <c r="A96" s="710"/>
      <c r="B96" s="712"/>
      <c r="C96" s="712"/>
      <c r="D96" s="712"/>
      <c r="E96" s="712"/>
      <c r="F96" s="726"/>
      <c r="G96" s="710"/>
      <c r="H96" s="710"/>
      <c r="I96" s="710"/>
      <c r="J96" s="712"/>
      <c r="K96" s="712"/>
      <c r="L96" s="712"/>
      <c r="M96" s="712"/>
      <c r="N96" s="69" t="s">
        <v>408</v>
      </c>
      <c r="O96" s="61" t="s">
        <v>126</v>
      </c>
      <c r="P96" s="3" t="s">
        <v>30</v>
      </c>
      <c r="Q96" s="63">
        <v>0.64</v>
      </c>
      <c r="R96" s="64">
        <f t="shared" si="14"/>
        <v>44.728320000000004</v>
      </c>
      <c r="S96" s="70">
        <v>63</v>
      </c>
      <c r="T96" s="710"/>
      <c r="U96" s="69" t="s">
        <v>434</v>
      </c>
      <c r="V96" s="61" t="s">
        <v>101</v>
      </c>
      <c r="W96" s="3" t="s">
        <v>30</v>
      </c>
      <c r="X96" s="63">
        <v>0.5</v>
      </c>
      <c r="Y96" s="64">
        <f t="shared" si="13"/>
        <v>34.944000000000003</v>
      </c>
      <c r="Z96" s="70">
        <v>59</v>
      </c>
      <c r="AA96" s="710"/>
      <c r="AB96" s="69" t="s">
        <v>403</v>
      </c>
      <c r="AC96" s="61" t="s">
        <v>118</v>
      </c>
      <c r="AD96" s="3" t="s">
        <v>30</v>
      </c>
      <c r="AE96" s="63">
        <v>0.69</v>
      </c>
      <c r="AF96" s="64">
        <f t="shared" si="12"/>
        <v>48.222720000000002</v>
      </c>
      <c r="AG96" s="70">
        <v>64</v>
      </c>
      <c r="AH96" s="710"/>
      <c r="AI96" s="710"/>
      <c r="AJ96" s="710"/>
    </row>
    <row r="97" spans="1:36" ht="15">
      <c r="A97" s="710"/>
      <c r="B97" s="712"/>
      <c r="C97" s="712"/>
      <c r="D97" s="712"/>
      <c r="E97" s="712"/>
      <c r="F97" s="726"/>
      <c r="G97" s="710"/>
      <c r="H97" s="710"/>
      <c r="I97" s="710"/>
      <c r="J97" s="712"/>
      <c r="K97" s="712"/>
      <c r="L97" s="712"/>
      <c r="M97" s="712"/>
      <c r="N97" s="69" t="s">
        <v>403</v>
      </c>
      <c r="O97" s="61" t="s">
        <v>118</v>
      </c>
      <c r="P97" s="3" t="s">
        <v>30</v>
      </c>
      <c r="Q97" s="63">
        <v>0.69</v>
      </c>
      <c r="R97" s="64">
        <f t="shared" si="14"/>
        <v>48.222720000000002</v>
      </c>
      <c r="S97" s="70">
        <v>64</v>
      </c>
      <c r="T97" s="710"/>
      <c r="U97" s="69" t="s">
        <v>399</v>
      </c>
      <c r="V97" s="61" t="s">
        <v>103</v>
      </c>
      <c r="W97" s="3" t="s">
        <v>30</v>
      </c>
      <c r="X97" s="63">
        <v>0.54</v>
      </c>
      <c r="Y97" s="64">
        <f t="shared" si="13"/>
        <v>37.739519999999999</v>
      </c>
      <c r="Z97" s="70">
        <v>50</v>
      </c>
      <c r="AA97" s="710"/>
      <c r="AB97" s="69" t="s">
        <v>421</v>
      </c>
      <c r="AC97" s="61" t="s">
        <v>127</v>
      </c>
      <c r="AD97" s="3" t="s">
        <v>30</v>
      </c>
      <c r="AE97" s="63">
        <v>0.66</v>
      </c>
      <c r="AF97" s="64">
        <f t="shared" si="12"/>
        <v>46.126080000000002</v>
      </c>
      <c r="AG97" s="70">
        <v>63</v>
      </c>
      <c r="AH97" s="710"/>
      <c r="AI97" s="710"/>
      <c r="AJ97" s="710"/>
    </row>
    <row r="98" spans="1:36" ht="15">
      <c r="A98" s="710"/>
      <c r="B98" s="712"/>
      <c r="C98" s="712"/>
      <c r="D98" s="712"/>
      <c r="E98" s="712"/>
      <c r="F98" s="726"/>
      <c r="G98" s="710"/>
      <c r="H98" s="710"/>
      <c r="I98" s="710"/>
      <c r="J98" s="712"/>
      <c r="K98" s="712"/>
      <c r="L98" s="712"/>
      <c r="M98" s="712"/>
      <c r="N98" s="69" t="s">
        <v>421</v>
      </c>
      <c r="O98" s="61" t="s">
        <v>127</v>
      </c>
      <c r="P98" s="3" t="s">
        <v>30</v>
      </c>
      <c r="Q98" s="63">
        <v>0.66</v>
      </c>
      <c r="R98" s="64">
        <f t="shared" si="14"/>
        <v>46.126080000000002</v>
      </c>
      <c r="S98" s="70">
        <v>63</v>
      </c>
      <c r="T98" s="710"/>
      <c r="U98" s="69" t="s">
        <v>400</v>
      </c>
      <c r="V98" s="61" t="s">
        <v>104</v>
      </c>
      <c r="W98" s="3" t="s">
        <v>30</v>
      </c>
      <c r="X98" s="63">
        <v>0.47</v>
      </c>
      <c r="Y98" s="64">
        <f t="shared" si="13"/>
        <v>32.847360000000002</v>
      </c>
      <c r="Z98" s="70">
        <v>46</v>
      </c>
      <c r="AA98" s="710"/>
      <c r="AB98" s="69" t="s">
        <v>435</v>
      </c>
      <c r="AC98" s="61" t="s">
        <v>119</v>
      </c>
      <c r="AD98" s="3" t="s">
        <v>30</v>
      </c>
      <c r="AE98" s="63">
        <v>0.63</v>
      </c>
      <c r="AF98" s="64">
        <f t="shared" si="12"/>
        <v>44.029440000000001</v>
      </c>
      <c r="AG98" s="70">
        <v>64</v>
      </c>
      <c r="AH98" s="710"/>
      <c r="AI98" s="710"/>
      <c r="AJ98" s="710"/>
    </row>
    <row r="99" spans="1:36" ht="15">
      <c r="A99" s="710"/>
      <c r="B99" s="712"/>
      <c r="C99" s="712"/>
      <c r="D99" s="712"/>
      <c r="E99" s="712"/>
      <c r="F99" s="726"/>
      <c r="G99" s="710"/>
      <c r="H99" s="710"/>
      <c r="I99" s="710"/>
      <c r="J99" s="712"/>
      <c r="K99" s="712"/>
      <c r="L99" s="712"/>
      <c r="M99" s="712"/>
      <c r="N99" s="69" t="s">
        <v>435</v>
      </c>
      <c r="O99" s="61" t="s">
        <v>119</v>
      </c>
      <c r="P99" s="3" t="s">
        <v>30</v>
      </c>
      <c r="Q99" s="63">
        <v>0.63</v>
      </c>
      <c r="R99" s="64">
        <f t="shared" si="14"/>
        <v>44.029440000000001</v>
      </c>
      <c r="S99" s="70">
        <v>64</v>
      </c>
      <c r="T99" s="710"/>
      <c r="U99" s="69" t="s">
        <v>402</v>
      </c>
      <c r="V99" s="61" t="s">
        <v>117</v>
      </c>
      <c r="W99" s="3" t="s">
        <v>30</v>
      </c>
      <c r="X99" s="63">
        <v>0.61</v>
      </c>
      <c r="Y99" s="64">
        <f t="shared" si="13"/>
        <v>42.631680000000003</v>
      </c>
      <c r="Z99" s="70">
        <v>64</v>
      </c>
      <c r="AA99" s="710"/>
      <c r="AB99" s="69" t="s">
        <v>404</v>
      </c>
      <c r="AC99" s="61" t="s">
        <v>120</v>
      </c>
      <c r="AD99" s="3" t="s">
        <v>30</v>
      </c>
      <c r="AE99" s="63">
        <v>0.63</v>
      </c>
      <c r="AF99" s="64">
        <f t="shared" ref="AF99:AF120" si="15">AE99*62.4*1.12</f>
        <v>44.029440000000001</v>
      </c>
      <c r="AG99" s="70">
        <v>64</v>
      </c>
      <c r="AH99" s="710"/>
      <c r="AI99" s="710"/>
      <c r="AJ99" s="710"/>
    </row>
    <row r="100" spans="1:36" ht="15">
      <c r="A100" s="710"/>
      <c r="B100" s="712"/>
      <c r="C100" s="712"/>
      <c r="D100" s="712"/>
      <c r="E100" s="712"/>
      <c r="F100" s="726"/>
      <c r="G100" s="710"/>
      <c r="H100" s="710"/>
      <c r="I100" s="710"/>
      <c r="J100" s="712"/>
      <c r="K100" s="712"/>
      <c r="L100" s="712"/>
      <c r="M100" s="712"/>
      <c r="N100" s="69" t="s">
        <v>404</v>
      </c>
      <c r="O100" s="61" t="s">
        <v>120</v>
      </c>
      <c r="P100" s="3" t="s">
        <v>30</v>
      </c>
      <c r="Q100" s="63">
        <v>0.63</v>
      </c>
      <c r="R100" s="64">
        <f t="shared" si="14"/>
        <v>44.029440000000001</v>
      </c>
      <c r="S100" s="70">
        <v>64</v>
      </c>
      <c r="T100" s="710"/>
      <c r="U100" s="69" t="s">
        <v>403</v>
      </c>
      <c r="V100" s="61" t="s">
        <v>118</v>
      </c>
      <c r="W100" s="3" t="s">
        <v>30</v>
      </c>
      <c r="X100" s="63">
        <v>0.69</v>
      </c>
      <c r="Y100" s="64">
        <f t="shared" si="13"/>
        <v>48.222720000000002</v>
      </c>
      <c r="Z100" s="70">
        <v>64</v>
      </c>
      <c r="AA100" s="710"/>
      <c r="AB100" s="69" t="s">
        <v>422</v>
      </c>
      <c r="AC100" s="61" t="s">
        <v>129</v>
      </c>
      <c r="AD100" s="3" t="s">
        <v>30</v>
      </c>
      <c r="AE100" s="63">
        <v>0.63</v>
      </c>
      <c r="AF100" s="64">
        <f t="shared" si="15"/>
        <v>44.029440000000001</v>
      </c>
      <c r="AG100" s="70">
        <v>63</v>
      </c>
      <c r="AH100" s="710"/>
      <c r="AI100" s="710"/>
      <c r="AJ100" s="710"/>
    </row>
    <row r="101" spans="1:36" ht="15">
      <c r="A101" s="710"/>
      <c r="B101" s="712"/>
      <c r="C101" s="712"/>
      <c r="D101" s="712"/>
      <c r="E101" s="712"/>
      <c r="F101" s="726"/>
      <c r="G101" s="710"/>
      <c r="H101" s="710"/>
      <c r="I101" s="710"/>
      <c r="J101" s="712"/>
      <c r="K101" s="712"/>
      <c r="L101" s="712"/>
      <c r="M101" s="712"/>
      <c r="N101" s="69" t="s">
        <v>422</v>
      </c>
      <c r="O101" s="61" t="s">
        <v>129</v>
      </c>
      <c r="P101" s="3" t="s">
        <v>30</v>
      </c>
      <c r="Q101" s="63">
        <v>0.63</v>
      </c>
      <c r="R101" s="64">
        <f t="shared" si="14"/>
        <v>44.029440000000001</v>
      </c>
      <c r="S101" s="70">
        <v>63</v>
      </c>
      <c r="T101" s="710"/>
      <c r="U101" s="69" t="s">
        <v>421</v>
      </c>
      <c r="V101" s="61" t="s">
        <v>127</v>
      </c>
      <c r="W101" s="3" t="s">
        <v>30</v>
      </c>
      <c r="X101" s="63">
        <v>0.66</v>
      </c>
      <c r="Y101" s="64">
        <f t="shared" si="13"/>
        <v>46.126080000000002</v>
      </c>
      <c r="Z101" s="70">
        <v>63</v>
      </c>
      <c r="AA101" s="710"/>
      <c r="AB101" s="69" t="s">
        <v>405</v>
      </c>
      <c r="AC101" s="61" t="s">
        <v>121</v>
      </c>
      <c r="AD101" s="3" t="s">
        <v>30</v>
      </c>
      <c r="AE101" s="63">
        <v>0.63</v>
      </c>
      <c r="AF101" s="64">
        <f t="shared" si="15"/>
        <v>44.029440000000001</v>
      </c>
      <c r="AG101" s="70">
        <v>64</v>
      </c>
      <c r="AH101" s="710"/>
      <c r="AI101" s="710"/>
      <c r="AJ101" s="710"/>
    </row>
    <row r="102" spans="1:36" ht="15">
      <c r="A102" s="710"/>
      <c r="B102" s="712"/>
      <c r="C102" s="712"/>
      <c r="D102" s="712"/>
      <c r="E102" s="712"/>
      <c r="F102" s="726"/>
      <c r="G102" s="710"/>
      <c r="H102" s="710"/>
      <c r="I102" s="710"/>
      <c r="J102" s="712"/>
      <c r="K102" s="712"/>
      <c r="L102" s="712"/>
      <c r="M102" s="712"/>
      <c r="N102" s="69" t="s">
        <v>405</v>
      </c>
      <c r="O102" s="61" t="s">
        <v>121</v>
      </c>
      <c r="P102" s="3" t="s">
        <v>30</v>
      </c>
      <c r="Q102" s="63">
        <v>0.63</v>
      </c>
      <c r="R102" s="64">
        <f t="shared" si="14"/>
        <v>44.029440000000001</v>
      </c>
      <c r="S102" s="70">
        <v>64</v>
      </c>
      <c r="T102" s="710"/>
      <c r="U102" s="69" t="s">
        <v>435</v>
      </c>
      <c r="V102" s="61" t="s">
        <v>119</v>
      </c>
      <c r="W102" s="3" t="s">
        <v>30</v>
      </c>
      <c r="X102" s="63">
        <v>0.63</v>
      </c>
      <c r="Y102" s="64">
        <f t="shared" si="13"/>
        <v>44.029440000000001</v>
      </c>
      <c r="Z102" s="70">
        <v>64</v>
      </c>
      <c r="AA102" s="710"/>
      <c r="AB102" s="69" t="s">
        <v>409</v>
      </c>
      <c r="AC102" s="61" t="s">
        <v>130</v>
      </c>
      <c r="AD102" s="3" t="s">
        <v>30</v>
      </c>
      <c r="AE102" s="63">
        <v>0.67</v>
      </c>
      <c r="AF102" s="64">
        <f t="shared" si="15"/>
        <v>46.824960000000004</v>
      </c>
      <c r="AG102" s="70">
        <v>64</v>
      </c>
      <c r="AH102" s="710"/>
      <c r="AI102" s="710"/>
      <c r="AJ102" s="710"/>
    </row>
    <row r="103" spans="1:36" ht="15">
      <c r="A103" s="710"/>
      <c r="B103" s="712"/>
      <c r="C103" s="712"/>
      <c r="D103" s="712"/>
      <c r="E103" s="712"/>
      <c r="F103" s="726"/>
      <c r="G103" s="710"/>
      <c r="H103" s="710"/>
      <c r="I103" s="710"/>
      <c r="J103" s="712"/>
      <c r="K103" s="712"/>
      <c r="L103" s="712"/>
      <c r="M103" s="712"/>
      <c r="N103" s="69" t="s">
        <v>409</v>
      </c>
      <c r="O103" s="61" t="s">
        <v>130</v>
      </c>
      <c r="P103" s="3" t="s">
        <v>30</v>
      </c>
      <c r="Q103" s="63">
        <v>0.67</v>
      </c>
      <c r="R103" s="64">
        <f t="shared" si="14"/>
        <v>46.824960000000004</v>
      </c>
      <c r="S103" s="70">
        <v>64</v>
      </c>
      <c r="T103" s="710"/>
      <c r="U103" s="69" t="s">
        <v>404</v>
      </c>
      <c r="V103" s="61" t="s">
        <v>120</v>
      </c>
      <c r="W103" s="3" t="s">
        <v>30</v>
      </c>
      <c r="X103" s="63">
        <v>0.63</v>
      </c>
      <c r="Y103" s="64">
        <f t="shared" ref="Y103:Y129" si="16">X103*62.4*1.12</f>
        <v>44.029440000000001</v>
      </c>
      <c r="Z103" s="70">
        <v>64</v>
      </c>
      <c r="AA103" s="710"/>
      <c r="AB103" s="69" t="s">
        <v>406</v>
      </c>
      <c r="AC103" s="61" t="s">
        <v>122</v>
      </c>
      <c r="AD103" s="3" t="s">
        <v>30</v>
      </c>
      <c r="AE103" s="63">
        <v>0.67</v>
      </c>
      <c r="AF103" s="64">
        <f t="shared" si="15"/>
        <v>46.824960000000004</v>
      </c>
      <c r="AG103" s="70">
        <v>64</v>
      </c>
      <c r="AH103" s="710"/>
      <c r="AI103" s="710"/>
      <c r="AJ103" s="710"/>
    </row>
    <row r="104" spans="1:36" ht="15">
      <c r="A104" s="710"/>
      <c r="B104" s="712"/>
      <c r="C104" s="712"/>
      <c r="D104" s="712"/>
      <c r="E104" s="712"/>
      <c r="F104" s="726"/>
      <c r="G104" s="710"/>
      <c r="H104" s="710"/>
      <c r="I104" s="710"/>
      <c r="J104" s="712"/>
      <c r="K104" s="712"/>
      <c r="L104" s="712"/>
      <c r="M104" s="712"/>
      <c r="N104" s="69" t="s">
        <v>406</v>
      </c>
      <c r="O104" s="61" t="s">
        <v>122</v>
      </c>
      <c r="P104" s="3" t="s">
        <v>30</v>
      </c>
      <c r="Q104" s="63">
        <v>0.67</v>
      </c>
      <c r="R104" s="64">
        <f t="shared" si="14"/>
        <v>46.824960000000004</v>
      </c>
      <c r="S104" s="70">
        <v>64</v>
      </c>
      <c r="T104" s="710"/>
      <c r="U104" s="69" t="s">
        <v>422</v>
      </c>
      <c r="V104" s="61" t="s">
        <v>129</v>
      </c>
      <c r="W104" s="3" t="s">
        <v>30</v>
      </c>
      <c r="X104" s="63">
        <v>0.63</v>
      </c>
      <c r="Y104" s="64">
        <f t="shared" si="16"/>
        <v>44.029440000000001</v>
      </c>
      <c r="Z104" s="70">
        <v>63</v>
      </c>
      <c r="AA104" s="710"/>
      <c r="AB104" s="69" t="s">
        <v>407</v>
      </c>
      <c r="AC104" s="61" t="s">
        <v>123</v>
      </c>
      <c r="AD104" s="3" t="s">
        <v>30</v>
      </c>
      <c r="AE104" s="63">
        <v>0.59</v>
      </c>
      <c r="AF104" s="64">
        <f t="shared" si="15"/>
        <v>41.233919999999998</v>
      </c>
      <c r="AG104" s="70">
        <v>64</v>
      </c>
      <c r="AH104" s="710"/>
      <c r="AI104" s="710"/>
      <c r="AJ104" s="710"/>
    </row>
    <row r="105" spans="1:36" ht="15">
      <c r="A105" s="710"/>
      <c r="B105" s="712"/>
      <c r="C105" s="712"/>
      <c r="D105" s="712"/>
      <c r="E105" s="712"/>
      <c r="F105" s="726"/>
      <c r="G105" s="710"/>
      <c r="H105" s="710"/>
      <c r="I105" s="710"/>
      <c r="J105" s="712"/>
      <c r="K105" s="712"/>
      <c r="L105" s="712"/>
      <c r="M105" s="712"/>
      <c r="N105" s="69" t="s">
        <v>438</v>
      </c>
      <c r="O105" s="61" t="s">
        <v>128</v>
      </c>
      <c r="P105" s="3" t="s">
        <v>30</v>
      </c>
      <c r="Q105" s="63">
        <v>0.88</v>
      </c>
      <c r="R105" s="64">
        <f t="shared" si="14"/>
        <v>61.501440000000002</v>
      </c>
      <c r="S105" s="70">
        <v>76</v>
      </c>
      <c r="T105" s="710"/>
      <c r="U105" s="69" t="s">
        <v>405</v>
      </c>
      <c r="V105" s="61" t="s">
        <v>121</v>
      </c>
      <c r="W105" s="3" t="s">
        <v>30</v>
      </c>
      <c r="X105" s="63">
        <v>0.63</v>
      </c>
      <c r="Y105" s="64">
        <f t="shared" si="16"/>
        <v>44.029440000000001</v>
      </c>
      <c r="Z105" s="70">
        <v>64</v>
      </c>
      <c r="AA105" s="710"/>
      <c r="AB105" s="69" t="s">
        <v>423</v>
      </c>
      <c r="AC105" s="61" t="s">
        <v>131</v>
      </c>
      <c r="AD105" s="3" t="s">
        <v>30</v>
      </c>
      <c r="AE105" s="63">
        <v>0.67</v>
      </c>
      <c r="AF105" s="64">
        <f t="shared" si="15"/>
        <v>46.824960000000004</v>
      </c>
      <c r="AG105" s="70">
        <v>63</v>
      </c>
      <c r="AH105" s="710"/>
      <c r="AI105" s="710"/>
      <c r="AJ105" s="710"/>
    </row>
    <row r="106" spans="1:36" ht="15">
      <c r="A106" s="710"/>
      <c r="B106" s="712"/>
      <c r="C106" s="712"/>
      <c r="D106" s="712"/>
      <c r="E106" s="712"/>
      <c r="F106" s="726"/>
      <c r="G106" s="710"/>
      <c r="H106" s="710"/>
      <c r="I106" s="710"/>
      <c r="J106" s="712"/>
      <c r="K106" s="712"/>
      <c r="L106" s="712"/>
      <c r="M106" s="712"/>
      <c r="N106" s="69" t="s">
        <v>407</v>
      </c>
      <c r="O106" s="61" t="s">
        <v>123</v>
      </c>
      <c r="P106" s="3" t="s">
        <v>30</v>
      </c>
      <c r="Q106" s="63">
        <v>0.59</v>
      </c>
      <c r="R106" s="64">
        <f t="shared" si="14"/>
        <v>41.233919999999998</v>
      </c>
      <c r="S106" s="70">
        <v>64</v>
      </c>
      <c r="T106" s="710"/>
      <c r="U106" s="69" t="s">
        <v>409</v>
      </c>
      <c r="V106" s="61" t="s">
        <v>130</v>
      </c>
      <c r="W106" s="3" t="s">
        <v>30</v>
      </c>
      <c r="X106" s="63">
        <v>0.67</v>
      </c>
      <c r="Y106" s="64">
        <f t="shared" si="16"/>
        <v>46.824960000000004</v>
      </c>
      <c r="Z106" s="70">
        <v>64</v>
      </c>
      <c r="AA106" s="710"/>
      <c r="AB106" s="69" t="s">
        <v>410</v>
      </c>
      <c r="AC106" s="61" t="s">
        <v>46</v>
      </c>
      <c r="AD106" s="3" t="s">
        <v>30</v>
      </c>
      <c r="AE106" s="63">
        <v>0.72</v>
      </c>
      <c r="AF106" s="64">
        <f t="shared" si="15"/>
        <v>50.319360000000003</v>
      </c>
      <c r="AG106" s="70">
        <v>63</v>
      </c>
      <c r="AH106" s="710"/>
      <c r="AI106" s="710"/>
      <c r="AJ106" s="710"/>
    </row>
    <row r="107" spans="1:36" ht="15">
      <c r="A107" s="710"/>
      <c r="B107" s="712"/>
      <c r="C107" s="712"/>
      <c r="D107" s="712"/>
      <c r="E107" s="712"/>
      <c r="F107" s="726"/>
      <c r="G107" s="710"/>
      <c r="H107" s="710"/>
      <c r="I107" s="710"/>
      <c r="J107" s="712"/>
      <c r="K107" s="712"/>
      <c r="L107" s="712"/>
      <c r="M107" s="712"/>
      <c r="N107" s="69" t="s">
        <v>423</v>
      </c>
      <c r="O107" s="61" t="s">
        <v>131</v>
      </c>
      <c r="P107" s="3" t="s">
        <v>30</v>
      </c>
      <c r="Q107" s="63">
        <v>0.67</v>
      </c>
      <c r="R107" s="64">
        <f t="shared" si="14"/>
        <v>46.824960000000004</v>
      </c>
      <c r="S107" s="70">
        <v>63</v>
      </c>
      <c r="T107" s="710"/>
      <c r="U107" s="69" t="s">
        <v>406</v>
      </c>
      <c r="V107" s="61" t="s">
        <v>122</v>
      </c>
      <c r="W107" s="3" t="s">
        <v>30</v>
      </c>
      <c r="X107" s="63">
        <v>0.67</v>
      </c>
      <c r="Y107" s="64">
        <f t="shared" si="16"/>
        <v>46.824960000000004</v>
      </c>
      <c r="Z107" s="70">
        <v>64</v>
      </c>
      <c r="AA107" s="710"/>
      <c r="AB107" s="69" t="s">
        <v>436</v>
      </c>
      <c r="AC107" s="61" t="s">
        <v>124</v>
      </c>
      <c r="AD107" s="3" t="s">
        <v>30</v>
      </c>
      <c r="AE107" s="63">
        <v>0.63</v>
      </c>
      <c r="AF107" s="64">
        <f t="shared" si="15"/>
        <v>44.029440000000001</v>
      </c>
      <c r="AG107" s="70">
        <v>64</v>
      </c>
      <c r="AH107" s="710"/>
      <c r="AI107" s="710"/>
      <c r="AJ107" s="710"/>
    </row>
    <row r="108" spans="1:36" ht="15">
      <c r="A108" s="710"/>
      <c r="B108" s="712"/>
      <c r="C108" s="712"/>
      <c r="D108" s="712"/>
      <c r="E108" s="712"/>
      <c r="F108" s="726"/>
      <c r="G108" s="710"/>
      <c r="H108" s="710"/>
      <c r="I108" s="710"/>
      <c r="J108" s="712"/>
      <c r="K108" s="712"/>
      <c r="L108" s="712"/>
      <c r="M108" s="712"/>
      <c r="N108" s="69" t="s">
        <v>410</v>
      </c>
      <c r="O108" s="61" t="s">
        <v>46</v>
      </c>
      <c r="P108" s="3" t="s">
        <v>30</v>
      </c>
      <c r="Q108" s="63">
        <v>0.72</v>
      </c>
      <c r="R108" s="64">
        <f t="shared" si="14"/>
        <v>50.319360000000003</v>
      </c>
      <c r="S108" s="70">
        <v>63</v>
      </c>
      <c r="T108" s="710"/>
      <c r="U108" s="69" t="s">
        <v>438</v>
      </c>
      <c r="V108" s="61" t="s">
        <v>128</v>
      </c>
      <c r="W108" s="3" t="s">
        <v>30</v>
      </c>
      <c r="X108" s="63">
        <v>0.88</v>
      </c>
      <c r="Y108" s="64">
        <f t="shared" si="16"/>
        <v>61.501440000000002</v>
      </c>
      <c r="Z108" s="70">
        <v>76</v>
      </c>
      <c r="AA108" s="710"/>
      <c r="AB108" s="69" t="s">
        <v>411</v>
      </c>
      <c r="AC108" s="61" t="s">
        <v>47</v>
      </c>
      <c r="AD108" s="3" t="s">
        <v>30</v>
      </c>
      <c r="AE108" s="63">
        <v>0.68</v>
      </c>
      <c r="AF108" s="64">
        <f t="shared" si="15"/>
        <v>47.523840000000007</v>
      </c>
      <c r="AG108" s="70">
        <v>63</v>
      </c>
      <c r="AH108" s="710"/>
      <c r="AI108" s="710"/>
      <c r="AJ108" s="710"/>
    </row>
    <row r="109" spans="1:36" ht="15">
      <c r="A109" s="710"/>
      <c r="B109" s="712"/>
      <c r="C109" s="712"/>
      <c r="D109" s="712"/>
      <c r="E109" s="712"/>
      <c r="F109" s="726"/>
      <c r="G109" s="710"/>
      <c r="H109" s="710"/>
      <c r="I109" s="710"/>
      <c r="J109" s="712"/>
      <c r="K109" s="712"/>
      <c r="L109" s="712"/>
      <c r="M109" s="712"/>
      <c r="N109" s="69" t="s">
        <v>436</v>
      </c>
      <c r="O109" s="61" t="s">
        <v>124</v>
      </c>
      <c r="P109" s="3" t="s">
        <v>30</v>
      </c>
      <c r="Q109" s="63">
        <v>0.63</v>
      </c>
      <c r="R109" s="64">
        <f t="shared" si="14"/>
        <v>44.029440000000001</v>
      </c>
      <c r="S109" s="70">
        <v>64</v>
      </c>
      <c r="T109" s="710"/>
      <c r="U109" s="69" t="s">
        <v>407</v>
      </c>
      <c r="V109" s="61" t="s">
        <v>123</v>
      </c>
      <c r="W109" s="3" t="s">
        <v>30</v>
      </c>
      <c r="X109" s="63">
        <v>0.59</v>
      </c>
      <c r="Y109" s="64">
        <f t="shared" si="16"/>
        <v>41.233919999999998</v>
      </c>
      <c r="Z109" s="70">
        <v>64</v>
      </c>
      <c r="AA109" s="710"/>
      <c r="AB109" s="69" t="s">
        <v>437</v>
      </c>
      <c r="AC109" s="61" t="s">
        <v>125</v>
      </c>
      <c r="AD109" s="3" t="s">
        <v>30</v>
      </c>
      <c r="AE109" s="63">
        <v>0.69</v>
      </c>
      <c r="AF109" s="64">
        <f t="shared" si="15"/>
        <v>48.222720000000002</v>
      </c>
      <c r="AG109" s="70">
        <v>64</v>
      </c>
      <c r="AH109" s="710"/>
      <c r="AI109" s="710"/>
      <c r="AJ109" s="710"/>
    </row>
    <row r="110" spans="1:36" ht="15">
      <c r="A110" s="710"/>
      <c r="B110" s="712"/>
      <c r="C110" s="712"/>
      <c r="D110" s="712"/>
      <c r="E110" s="712"/>
      <c r="F110" s="726"/>
      <c r="G110" s="710"/>
      <c r="H110" s="710"/>
      <c r="I110" s="710"/>
      <c r="J110" s="710"/>
      <c r="K110" s="712"/>
      <c r="L110" s="712"/>
      <c r="M110" s="712"/>
      <c r="N110" s="69" t="s">
        <v>411</v>
      </c>
      <c r="O110" s="61" t="s">
        <v>47</v>
      </c>
      <c r="P110" s="3" t="s">
        <v>30</v>
      </c>
      <c r="Q110" s="63">
        <v>0.68</v>
      </c>
      <c r="R110" s="64">
        <f t="shared" si="14"/>
        <v>47.523840000000007</v>
      </c>
      <c r="S110" s="70">
        <v>63</v>
      </c>
      <c r="T110" s="710"/>
      <c r="U110" s="69" t="s">
        <v>423</v>
      </c>
      <c r="V110" s="61" t="s">
        <v>131</v>
      </c>
      <c r="W110" s="3" t="s">
        <v>30</v>
      </c>
      <c r="X110" s="63">
        <v>0.67</v>
      </c>
      <c r="Y110" s="64">
        <f t="shared" si="16"/>
        <v>46.824960000000004</v>
      </c>
      <c r="Z110" s="70">
        <v>63</v>
      </c>
      <c r="AA110" s="710"/>
      <c r="AB110" s="69" t="s">
        <v>375</v>
      </c>
      <c r="AC110" s="65" t="s">
        <v>152</v>
      </c>
      <c r="AD110" s="62" t="s">
        <v>31</v>
      </c>
      <c r="AE110" s="63">
        <v>0.35</v>
      </c>
      <c r="AF110" s="64">
        <f t="shared" si="15"/>
        <v>24.460800000000003</v>
      </c>
      <c r="AG110" s="70">
        <v>35</v>
      </c>
      <c r="AH110" s="710"/>
      <c r="AI110" s="710"/>
      <c r="AJ110" s="710"/>
    </row>
    <row r="111" spans="1:36" ht="15">
      <c r="A111" s="710"/>
      <c r="B111" s="712"/>
      <c r="C111" s="712"/>
      <c r="D111" s="712"/>
      <c r="E111" s="712"/>
      <c r="F111" s="726"/>
      <c r="G111" s="710"/>
      <c r="H111" s="710"/>
      <c r="I111" s="710"/>
      <c r="J111" s="710"/>
      <c r="K111" s="712"/>
      <c r="L111" s="712"/>
      <c r="M111" s="712"/>
      <c r="N111" s="69" t="s">
        <v>437</v>
      </c>
      <c r="O111" s="61" t="s">
        <v>125</v>
      </c>
      <c r="P111" s="3" t="s">
        <v>30</v>
      </c>
      <c r="Q111" s="63">
        <v>0.69</v>
      </c>
      <c r="R111" s="64">
        <f t="shared" si="14"/>
        <v>48.222720000000002</v>
      </c>
      <c r="S111" s="70">
        <v>64</v>
      </c>
      <c r="T111" s="710"/>
      <c r="U111" s="69" t="s">
        <v>436</v>
      </c>
      <c r="V111" s="61" t="s">
        <v>124</v>
      </c>
      <c r="W111" s="3" t="s">
        <v>30</v>
      </c>
      <c r="X111" s="63">
        <v>0.63</v>
      </c>
      <c r="Y111" s="64">
        <f t="shared" si="16"/>
        <v>44.029440000000001</v>
      </c>
      <c r="Z111" s="70">
        <v>64</v>
      </c>
      <c r="AA111" s="710"/>
      <c r="AB111" s="69" t="s">
        <v>427</v>
      </c>
      <c r="AC111" s="65" t="s">
        <v>154</v>
      </c>
      <c r="AD111" s="62" t="s">
        <v>31</v>
      </c>
      <c r="AE111" s="63">
        <v>0.51</v>
      </c>
      <c r="AF111" s="64">
        <f t="shared" si="15"/>
        <v>35.642879999999998</v>
      </c>
      <c r="AG111" s="70">
        <v>53</v>
      </c>
      <c r="AH111" s="710"/>
      <c r="AI111" s="710"/>
      <c r="AJ111" s="710"/>
    </row>
    <row r="112" spans="1:36" ht="15">
      <c r="A112" s="710"/>
      <c r="B112" s="712"/>
      <c r="C112" s="712"/>
      <c r="D112" s="712"/>
      <c r="E112" s="712"/>
      <c r="F112" s="726"/>
      <c r="G112" s="710"/>
      <c r="H112" s="710"/>
      <c r="I112" s="710"/>
      <c r="J112" s="710"/>
      <c r="K112" s="712"/>
      <c r="L112" s="712"/>
      <c r="M112" s="712"/>
      <c r="N112" s="69" t="s">
        <v>392</v>
      </c>
      <c r="O112" s="61" t="s">
        <v>91</v>
      </c>
      <c r="P112" s="3" t="s">
        <v>30</v>
      </c>
      <c r="Q112" s="63">
        <v>0.66</v>
      </c>
      <c r="R112" s="64">
        <f t="shared" si="14"/>
        <v>46.126080000000002</v>
      </c>
      <c r="S112" s="70">
        <v>62</v>
      </c>
      <c r="T112" s="710"/>
      <c r="U112" s="69" t="s">
        <v>411</v>
      </c>
      <c r="V112" s="61" t="s">
        <v>47</v>
      </c>
      <c r="W112" s="3" t="s">
        <v>30</v>
      </c>
      <c r="X112" s="63">
        <v>0.68</v>
      </c>
      <c r="Y112" s="64">
        <f t="shared" si="16"/>
        <v>47.523840000000007</v>
      </c>
      <c r="Z112" s="70">
        <v>63</v>
      </c>
      <c r="AA112" s="710"/>
      <c r="AB112" s="69" t="s">
        <v>416</v>
      </c>
      <c r="AC112" s="65" t="s">
        <v>157</v>
      </c>
      <c r="AD112" s="62" t="s">
        <v>31</v>
      </c>
      <c r="AE112" s="63">
        <v>0.52</v>
      </c>
      <c r="AF112" s="64">
        <f t="shared" si="15"/>
        <v>36.341760000000001</v>
      </c>
      <c r="AG112" s="70">
        <v>50</v>
      </c>
      <c r="AH112" s="710"/>
      <c r="AI112" s="710"/>
      <c r="AJ112" s="710"/>
    </row>
    <row r="113" spans="1:36" ht="15">
      <c r="A113" s="710"/>
      <c r="B113" s="712"/>
      <c r="C113" s="712"/>
      <c r="D113" s="712"/>
      <c r="E113" s="712"/>
      <c r="F113" s="726"/>
      <c r="G113" s="710"/>
      <c r="H113" s="710"/>
      <c r="I113" s="710"/>
      <c r="J113" s="710"/>
      <c r="K113" s="712"/>
      <c r="L113" s="712"/>
      <c r="M113" s="712"/>
      <c r="N113" s="69" t="s">
        <v>375</v>
      </c>
      <c r="O113" s="65" t="s">
        <v>152</v>
      </c>
      <c r="P113" s="62" t="s">
        <v>31</v>
      </c>
      <c r="Q113" s="63">
        <v>0.35</v>
      </c>
      <c r="R113" s="64">
        <f t="shared" si="14"/>
        <v>24.460800000000003</v>
      </c>
      <c r="S113" s="70">
        <v>35</v>
      </c>
      <c r="T113" s="710"/>
      <c r="U113" s="69" t="s">
        <v>437</v>
      </c>
      <c r="V113" s="61" t="s">
        <v>125</v>
      </c>
      <c r="W113" s="3" t="s">
        <v>30</v>
      </c>
      <c r="X113" s="63">
        <v>0.69</v>
      </c>
      <c r="Y113" s="64">
        <f t="shared" si="16"/>
        <v>48.222720000000002</v>
      </c>
      <c r="Z113" s="70">
        <v>64</v>
      </c>
      <c r="AA113" s="710"/>
      <c r="AB113" s="69" t="s">
        <v>440</v>
      </c>
      <c r="AC113" s="65" t="s">
        <v>158</v>
      </c>
      <c r="AD113" s="62" t="s">
        <v>31</v>
      </c>
      <c r="AE113" s="63">
        <v>0.56000000000000005</v>
      </c>
      <c r="AF113" s="64">
        <f t="shared" si="15"/>
        <v>39.137280000000004</v>
      </c>
      <c r="AG113" s="70">
        <v>51</v>
      </c>
      <c r="AH113" s="710"/>
      <c r="AI113" s="710"/>
      <c r="AJ113" s="710"/>
    </row>
    <row r="114" spans="1:36" ht="15">
      <c r="A114" s="710"/>
      <c r="B114" s="712"/>
      <c r="C114" s="712"/>
      <c r="D114" s="712"/>
      <c r="E114" s="712"/>
      <c r="F114" s="726"/>
      <c r="G114" s="710"/>
      <c r="H114" s="710"/>
      <c r="I114" s="710"/>
      <c r="J114" s="710"/>
      <c r="K114" s="712"/>
      <c r="L114" s="712"/>
      <c r="M114" s="712"/>
      <c r="N114" s="69" t="s">
        <v>427</v>
      </c>
      <c r="O114" s="65" t="s">
        <v>154</v>
      </c>
      <c r="P114" s="62" t="s">
        <v>31</v>
      </c>
      <c r="Q114" s="63">
        <v>0.51</v>
      </c>
      <c r="R114" s="64">
        <f t="shared" si="14"/>
        <v>35.642879999999998</v>
      </c>
      <c r="S114" s="70">
        <v>53</v>
      </c>
      <c r="T114" s="710"/>
      <c r="U114" s="69" t="s">
        <v>375</v>
      </c>
      <c r="V114" s="65" t="s">
        <v>152</v>
      </c>
      <c r="W114" s="62" t="s">
        <v>31</v>
      </c>
      <c r="X114" s="63">
        <v>0.35</v>
      </c>
      <c r="Y114" s="64">
        <f t="shared" si="16"/>
        <v>24.460800000000003</v>
      </c>
      <c r="Z114" s="70">
        <v>35</v>
      </c>
      <c r="AA114" s="710"/>
      <c r="AB114" s="69" t="s">
        <v>378</v>
      </c>
      <c r="AC114" s="65" t="s">
        <v>162</v>
      </c>
      <c r="AD114" s="62" t="s">
        <v>31</v>
      </c>
      <c r="AE114" s="63">
        <v>0.51</v>
      </c>
      <c r="AF114" s="64">
        <f t="shared" si="15"/>
        <v>35.642879999999998</v>
      </c>
      <c r="AG114" s="70">
        <v>52</v>
      </c>
      <c r="AH114" s="710"/>
      <c r="AI114" s="710"/>
      <c r="AJ114" s="710"/>
    </row>
    <row r="115" spans="1:36" ht="15">
      <c r="A115" s="710"/>
      <c r="B115" s="712"/>
      <c r="C115" s="712"/>
      <c r="D115" s="712"/>
      <c r="E115" s="712"/>
      <c r="F115" s="726"/>
      <c r="G115" s="710"/>
      <c r="H115" s="710"/>
      <c r="I115" s="710"/>
      <c r="J115" s="710"/>
      <c r="K115" s="712"/>
      <c r="L115" s="712"/>
      <c r="M115" s="712"/>
      <c r="N115" s="69" t="s">
        <v>428</v>
      </c>
      <c r="O115" s="65" t="s">
        <v>156</v>
      </c>
      <c r="P115" s="62" t="s">
        <v>31</v>
      </c>
      <c r="Q115" s="63">
        <v>0.59</v>
      </c>
      <c r="R115" s="64">
        <f t="shared" si="14"/>
        <v>41.233919999999998</v>
      </c>
      <c r="S115" s="70">
        <v>55</v>
      </c>
      <c r="T115" s="710"/>
      <c r="U115" s="69" t="s">
        <v>427</v>
      </c>
      <c r="V115" s="65" t="s">
        <v>154</v>
      </c>
      <c r="W115" s="62" t="s">
        <v>31</v>
      </c>
      <c r="X115" s="63">
        <v>0.51</v>
      </c>
      <c r="Y115" s="64">
        <f t="shared" si="16"/>
        <v>35.642879999999998</v>
      </c>
      <c r="Z115" s="70">
        <v>53</v>
      </c>
      <c r="AA115" s="710"/>
      <c r="AB115" s="69" t="s">
        <v>417</v>
      </c>
      <c r="AC115" s="65" t="s">
        <v>166</v>
      </c>
      <c r="AD115" s="62" t="s">
        <v>31</v>
      </c>
      <c r="AE115" s="63">
        <v>0.48</v>
      </c>
      <c r="AF115" s="64">
        <f t="shared" si="15"/>
        <v>33.546240000000004</v>
      </c>
      <c r="AG115" s="70">
        <v>50</v>
      </c>
      <c r="AH115" s="710"/>
      <c r="AI115" s="710"/>
      <c r="AJ115" s="710"/>
    </row>
    <row r="116" spans="1:36" ht="15">
      <c r="A116" s="710"/>
      <c r="B116" s="712"/>
      <c r="C116" s="712"/>
      <c r="D116" s="712"/>
      <c r="E116" s="712"/>
      <c r="F116" s="726"/>
      <c r="G116" s="710"/>
      <c r="H116" s="710"/>
      <c r="I116" s="710"/>
      <c r="J116" s="710"/>
      <c r="K116" s="712"/>
      <c r="L116" s="712"/>
      <c r="M116" s="712"/>
      <c r="N116" s="69" t="s">
        <v>416</v>
      </c>
      <c r="O116" s="65" t="s">
        <v>157</v>
      </c>
      <c r="P116" s="62" t="s">
        <v>31</v>
      </c>
      <c r="Q116" s="63">
        <v>0.52</v>
      </c>
      <c r="R116" s="64">
        <f t="shared" si="14"/>
        <v>36.341760000000001</v>
      </c>
      <c r="S116" s="70">
        <v>50</v>
      </c>
      <c r="T116" s="710"/>
      <c r="U116" s="69" t="s">
        <v>428</v>
      </c>
      <c r="V116" s="65" t="s">
        <v>156</v>
      </c>
      <c r="W116" s="62" t="s">
        <v>31</v>
      </c>
      <c r="X116" s="63">
        <v>0.59</v>
      </c>
      <c r="Y116" s="64">
        <f t="shared" si="16"/>
        <v>41.233919999999998</v>
      </c>
      <c r="Z116" s="70">
        <v>55</v>
      </c>
      <c r="AA116" s="710"/>
      <c r="AB116" s="69" t="s">
        <v>424</v>
      </c>
      <c r="AC116" s="61" t="s">
        <v>106</v>
      </c>
      <c r="AD116" s="3" t="s">
        <v>30</v>
      </c>
      <c r="AE116" s="63">
        <v>0.52</v>
      </c>
      <c r="AF116" s="64">
        <f t="shared" si="15"/>
        <v>36.341760000000001</v>
      </c>
      <c r="AG116" s="70">
        <v>50</v>
      </c>
      <c r="AH116" s="710"/>
      <c r="AI116" s="710"/>
      <c r="AJ116" s="710"/>
    </row>
    <row r="117" spans="1:36" ht="15">
      <c r="A117" s="710"/>
      <c r="B117" s="712"/>
      <c r="C117" s="712"/>
      <c r="D117" s="712"/>
      <c r="E117" s="712"/>
      <c r="F117" s="726"/>
      <c r="G117" s="710"/>
      <c r="H117" s="710"/>
      <c r="I117" s="710"/>
      <c r="J117" s="710"/>
      <c r="K117" s="712"/>
      <c r="L117" s="712"/>
      <c r="M117" s="712"/>
      <c r="N117" s="69" t="s">
        <v>378</v>
      </c>
      <c r="O117" s="65" t="s">
        <v>162</v>
      </c>
      <c r="P117" s="62" t="s">
        <v>31</v>
      </c>
      <c r="Q117" s="63">
        <v>0.51</v>
      </c>
      <c r="R117" s="64">
        <f t="shared" si="14"/>
        <v>35.642879999999998</v>
      </c>
      <c r="S117" s="70">
        <v>52</v>
      </c>
      <c r="T117" s="710"/>
      <c r="U117" s="69" t="s">
        <v>416</v>
      </c>
      <c r="V117" s="65" t="s">
        <v>157</v>
      </c>
      <c r="W117" s="62" t="s">
        <v>31</v>
      </c>
      <c r="X117" s="63">
        <v>0.52</v>
      </c>
      <c r="Y117" s="64">
        <f t="shared" si="16"/>
        <v>36.341760000000001</v>
      </c>
      <c r="Z117" s="70">
        <v>50</v>
      </c>
      <c r="AA117" s="710"/>
      <c r="AB117" s="69" t="s">
        <v>412</v>
      </c>
      <c r="AC117" s="61" t="s">
        <v>107</v>
      </c>
      <c r="AD117" s="3" t="s">
        <v>30</v>
      </c>
      <c r="AE117" s="63">
        <v>0.49</v>
      </c>
      <c r="AF117" s="64">
        <f t="shared" si="15"/>
        <v>34.245120000000007</v>
      </c>
      <c r="AG117" s="70">
        <v>52</v>
      </c>
      <c r="AH117" s="710"/>
      <c r="AI117" s="710"/>
      <c r="AJ117" s="710"/>
    </row>
    <row r="118" spans="1:36" ht="15">
      <c r="A118" s="710"/>
      <c r="B118" s="712"/>
      <c r="C118" s="712"/>
      <c r="D118" s="712"/>
      <c r="E118" s="712"/>
      <c r="F118" s="726"/>
      <c r="G118" s="710"/>
      <c r="H118" s="710"/>
      <c r="I118" s="710"/>
      <c r="J118" s="710"/>
      <c r="K118" s="712"/>
      <c r="L118" s="712"/>
      <c r="M118" s="712"/>
      <c r="N118" s="69" t="s">
        <v>429</v>
      </c>
      <c r="O118" s="65" t="s">
        <v>163</v>
      </c>
      <c r="P118" s="62" t="s">
        <v>31</v>
      </c>
      <c r="Q118" s="63">
        <v>0.59</v>
      </c>
      <c r="R118" s="64">
        <f t="shared" si="14"/>
        <v>41.233919999999998</v>
      </c>
      <c r="S118" s="70">
        <v>58</v>
      </c>
      <c r="T118" s="710"/>
      <c r="U118" s="69" t="s">
        <v>440</v>
      </c>
      <c r="V118" s="65" t="s">
        <v>158</v>
      </c>
      <c r="W118" s="62" t="s">
        <v>31</v>
      </c>
      <c r="X118" s="63">
        <v>0.56000000000000005</v>
      </c>
      <c r="Y118" s="64">
        <f t="shared" si="16"/>
        <v>39.137280000000004</v>
      </c>
      <c r="Z118" s="70">
        <v>51</v>
      </c>
      <c r="AA118" s="710"/>
      <c r="AB118" s="69" t="s">
        <v>413</v>
      </c>
      <c r="AC118" s="61" t="s">
        <v>109</v>
      </c>
      <c r="AD118" s="3" t="s">
        <v>30</v>
      </c>
      <c r="AE118" s="63">
        <v>0.5</v>
      </c>
      <c r="AF118" s="64">
        <f t="shared" si="15"/>
        <v>34.944000000000003</v>
      </c>
      <c r="AG118" s="70">
        <v>56</v>
      </c>
      <c r="AH118" s="710"/>
      <c r="AI118" s="710"/>
      <c r="AJ118" s="710"/>
    </row>
    <row r="119" spans="1:36" ht="15">
      <c r="A119" s="710"/>
      <c r="B119" s="712"/>
      <c r="C119" s="712"/>
      <c r="D119" s="712"/>
      <c r="E119" s="712"/>
      <c r="F119" s="726"/>
      <c r="G119" s="710"/>
      <c r="H119" s="710"/>
      <c r="I119" s="710"/>
      <c r="J119" s="710"/>
      <c r="K119" s="712"/>
      <c r="L119" s="712"/>
      <c r="M119" s="712"/>
      <c r="N119" s="69" t="s">
        <v>430</v>
      </c>
      <c r="O119" s="65" t="s">
        <v>164</v>
      </c>
      <c r="P119" s="62" t="s">
        <v>31</v>
      </c>
      <c r="Q119" s="63">
        <v>0.44</v>
      </c>
      <c r="R119" s="64">
        <f t="shared" si="14"/>
        <v>30.750720000000001</v>
      </c>
      <c r="S119" s="70">
        <v>45</v>
      </c>
      <c r="T119" s="710"/>
      <c r="U119" s="69" t="s">
        <v>441</v>
      </c>
      <c r="V119" s="65" t="s">
        <v>161</v>
      </c>
      <c r="W119" s="62" t="s">
        <v>31</v>
      </c>
      <c r="X119" s="63">
        <v>0.48</v>
      </c>
      <c r="Y119" s="64">
        <f t="shared" si="16"/>
        <v>33.546240000000004</v>
      </c>
      <c r="Z119" s="70">
        <v>38</v>
      </c>
      <c r="AA119" s="710"/>
      <c r="AB119" s="69" t="s">
        <v>414</v>
      </c>
      <c r="AC119" s="61" t="s">
        <v>111</v>
      </c>
      <c r="AD119" s="3" t="s">
        <v>30</v>
      </c>
      <c r="AE119" s="63">
        <v>0.55000000000000004</v>
      </c>
      <c r="AF119" s="64">
        <f t="shared" si="15"/>
        <v>38.438400000000001</v>
      </c>
      <c r="AG119" s="70">
        <v>57</v>
      </c>
      <c r="AH119" s="710"/>
      <c r="AI119" s="710"/>
      <c r="AJ119" s="710"/>
    </row>
    <row r="120" spans="1:36" ht="15">
      <c r="A120" s="710"/>
      <c r="B120" s="712"/>
      <c r="C120" s="712"/>
      <c r="D120" s="712"/>
      <c r="E120" s="712"/>
      <c r="F120" s="726"/>
      <c r="G120" s="710"/>
      <c r="H120" s="710"/>
      <c r="I120" s="710"/>
      <c r="J120" s="710"/>
      <c r="K120" s="712"/>
      <c r="L120" s="712"/>
      <c r="M120" s="712"/>
      <c r="N120" s="69" t="s">
        <v>417</v>
      </c>
      <c r="O120" s="65" t="s">
        <v>166</v>
      </c>
      <c r="P120" s="62" t="s">
        <v>31</v>
      </c>
      <c r="Q120" s="63">
        <v>0.48</v>
      </c>
      <c r="R120" s="64">
        <f t="shared" si="14"/>
        <v>33.546240000000004</v>
      </c>
      <c r="S120" s="70">
        <v>50</v>
      </c>
      <c r="T120" s="710"/>
      <c r="U120" s="69" t="s">
        <v>378</v>
      </c>
      <c r="V120" s="65" t="s">
        <v>162</v>
      </c>
      <c r="W120" s="62" t="s">
        <v>31</v>
      </c>
      <c r="X120" s="63">
        <v>0.51</v>
      </c>
      <c r="Y120" s="64">
        <f t="shared" si="16"/>
        <v>35.642879999999998</v>
      </c>
      <c r="Z120" s="70">
        <v>52</v>
      </c>
      <c r="AA120" s="710"/>
      <c r="AB120" s="71" t="s">
        <v>344</v>
      </c>
      <c r="AC120" s="66" t="s">
        <v>112</v>
      </c>
      <c r="AD120" s="32" t="s">
        <v>30</v>
      </c>
      <c r="AE120" s="67">
        <v>0.39</v>
      </c>
      <c r="AF120" s="68">
        <f t="shared" si="15"/>
        <v>27.256320000000002</v>
      </c>
      <c r="AG120" s="72">
        <v>51</v>
      </c>
      <c r="AH120" s="710"/>
      <c r="AI120" s="710"/>
      <c r="AJ120" s="710"/>
    </row>
    <row r="121" spans="1:36" ht="15.75" thickBot="1">
      <c r="A121" s="710"/>
      <c r="B121" s="712"/>
      <c r="C121" s="712"/>
      <c r="D121" s="712"/>
      <c r="E121" s="712"/>
      <c r="F121" s="726"/>
      <c r="G121" s="710"/>
      <c r="H121" s="710"/>
      <c r="I121" s="710"/>
      <c r="J121" s="710"/>
      <c r="K121" s="712"/>
      <c r="L121" s="712"/>
      <c r="M121" s="712"/>
      <c r="N121" s="69" t="s">
        <v>424</v>
      </c>
      <c r="O121" s="61" t="s">
        <v>106</v>
      </c>
      <c r="P121" s="3" t="s">
        <v>30</v>
      </c>
      <c r="Q121" s="63">
        <v>0.52</v>
      </c>
      <c r="R121" s="64">
        <f t="shared" si="14"/>
        <v>36.341760000000001</v>
      </c>
      <c r="S121" s="70">
        <v>50</v>
      </c>
      <c r="T121" s="710"/>
      <c r="U121" s="69" t="s">
        <v>429</v>
      </c>
      <c r="V121" s="65" t="s">
        <v>163</v>
      </c>
      <c r="W121" s="62" t="s">
        <v>31</v>
      </c>
      <c r="X121" s="63">
        <v>0.59</v>
      </c>
      <c r="Y121" s="64">
        <f t="shared" si="16"/>
        <v>41.233919999999998</v>
      </c>
      <c r="Z121" s="70">
        <v>58</v>
      </c>
      <c r="AA121" s="710"/>
      <c r="AB121" s="215" t="s">
        <v>188</v>
      </c>
      <c r="AC121" s="216" t="s">
        <v>189</v>
      </c>
      <c r="AD121" s="217" t="s">
        <v>168</v>
      </c>
      <c r="AE121" s="218" t="s">
        <v>168</v>
      </c>
      <c r="AF121" s="242" t="s">
        <v>168</v>
      </c>
      <c r="AG121" s="219" t="s">
        <v>168</v>
      </c>
      <c r="AH121" s="710"/>
      <c r="AI121" s="710"/>
      <c r="AJ121" s="710"/>
    </row>
    <row r="122" spans="1:36" ht="15">
      <c r="A122" s="710"/>
      <c r="B122" s="712"/>
      <c r="C122" s="712"/>
      <c r="D122" s="712"/>
      <c r="E122" s="712"/>
      <c r="F122" s="726"/>
      <c r="G122" s="710"/>
      <c r="H122" s="710"/>
      <c r="I122" s="710"/>
      <c r="J122" s="710"/>
      <c r="K122" s="712"/>
      <c r="L122" s="712"/>
      <c r="M122" s="712"/>
      <c r="N122" s="69" t="s">
        <v>412</v>
      </c>
      <c r="O122" s="61" t="s">
        <v>107</v>
      </c>
      <c r="P122" s="3" t="s">
        <v>30</v>
      </c>
      <c r="Q122" s="63">
        <v>0.49</v>
      </c>
      <c r="R122" s="64">
        <f t="shared" si="14"/>
        <v>34.245120000000007</v>
      </c>
      <c r="S122" s="70">
        <v>52</v>
      </c>
      <c r="T122" s="710"/>
      <c r="U122" s="69" t="s">
        <v>430</v>
      </c>
      <c r="V122" s="65" t="s">
        <v>164</v>
      </c>
      <c r="W122" s="62" t="s">
        <v>31</v>
      </c>
      <c r="X122" s="63">
        <v>0.44</v>
      </c>
      <c r="Y122" s="64">
        <f t="shared" si="16"/>
        <v>30.750720000000001</v>
      </c>
      <c r="Z122" s="70">
        <v>45</v>
      </c>
      <c r="AA122" s="710"/>
      <c r="AB122" s="710"/>
      <c r="AC122" s="710"/>
      <c r="AD122" s="710"/>
      <c r="AE122" s="710"/>
      <c r="AF122" s="710"/>
      <c r="AG122" s="710"/>
      <c r="AH122" s="710"/>
      <c r="AI122" s="710"/>
      <c r="AJ122" s="710"/>
    </row>
    <row r="123" spans="1:36">
      <c r="A123" s="710"/>
      <c r="B123" s="712"/>
      <c r="C123" s="712"/>
      <c r="D123" s="712"/>
      <c r="E123" s="712"/>
      <c r="F123" s="710"/>
      <c r="G123" s="710"/>
      <c r="H123" s="710"/>
      <c r="I123" s="710"/>
      <c r="J123" s="710"/>
      <c r="K123" s="712"/>
      <c r="L123" s="712"/>
      <c r="M123" s="712"/>
      <c r="N123" s="69" t="s">
        <v>413</v>
      </c>
      <c r="O123" s="61" t="s">
        <v>109</v>
      </c>
      <c r="P123" s="3" t="s">
        <v>30</v>
      </c>
      <c r="Q123" s="63">
        <v>0.5</v>
      </c>
      <c r="R123" s="64">
        <f t="shared" si="14"/>
        <v>34.944000000000003</v>
      </c>
      <c r="S123" s="70">
        <v>56</v>
      </c>
      <c r="T123" s="710"/>
      <c r="U123" s="69" t="s">
        <v>417</v>
      </c>
      <c r="V123" s="65" t="s">
        <v>166</v>
      </c>
      <c r="W123" s="62" t="s">
        <v>31</v>
      </c>
      <c r="X123" s="63">
        <v>0.48</v>
      </c>
      <c r="Y123" s="64">
        <f t="shared" si="16"/>
        <v>33.546240000000004</v>
      </c>
      <c r="Z123" s="70">
        <v>50</v>
      </c>
      <c r="AA123" s="710"/>
      <c r="AB123" s="710"/>
      <c r="AC123" s="710"/>
      <c r="AD123" s="710"/>
      <c r="AE123" s="710"/>
      <c r="AF123" s="710"/>
      <c r="AG123" s="710"/>
      <c r="AH123" s="710"/>
      <c r="AI123" s="710"/>
      <c r="AJ123" s="710"/>
    </row>
    <row r="124" spans="1:36">
      <c r="A124" s="710"/>
      <c r="B124" s="712"/>
      <c r="C124" s="712"/>
      <c r="D124" s="712"/>
      <c r="E124" s="712"/>
      <c r="F124" s="710"/>
      <c r="G124" s="710"/>
      <c r="H124" s="710"/>
      <c r="I124" s="710"/>
      <c r="J124" s="710"/>
      <c r="K124" s="712"/>
      <c r="L124" s="712"/>
      <c r="M124" s="712"/>
      <c r="N124" s="69" t="s">
        <v>439</v>
      </c>
      <c r="O124" s="61" t="s">
        <v>110</v>
      </c>
      <c r="P124" s="3" t="s">
        <v>30</v>
      </c>
      <c r="Q124" s="63">
        <v>0.5</v>
      </c>
      <c r="R124" s="64">
        <f t="shared" si="14"/>
        <v>34.944000000000003</v>
      </c>
      <c r="S124" s="70">
        <v>56</v>
      </c>
      <c r="T124" s="710"/>
      <c r="U124" s="69" t="s">
        <v>424</v>
      </c>
      <c r="V124" s="61" t="s">
        <v>106</v>
      </c>
      <c r="W124" s="3" t="s">
        <v>30</v>
      </c>
      <c r="X124" s="63">
        <v>0.52</v>
      </c>
      <c r="Y124" s="64">
        <f t="shared" si="16"/>
        <v>36.341760000000001</v>
      </c>
      <c r="Z124" s="70">
        <v>50</v>
      </c>
      <c r="AA124" s="710"/>
      <c r="AB124" s="710"/>
      <c r="AC124" s="710"/>
      <c r="AD124" s="710"/>
      <c r="AE124" s="710"/>
      <c r="AF124" s="710"/>
      <c r="AG124" s="710"/>
      <c r="AH124" s="710"/>
      <c r="AI124" s="710"/>
      <c r="AJ124" s="710"/>
    </row>
    <row r="125" spans="1:36">
      <c r="A125" s="710"/>
      <c r="B125" s="712"/>
      <c r="C125" s="712"/>
      <c r="D125" s="712"/>
      <c r="E125" s="712"/>
      <c r="F125" s="710"/>
      <c r="G125" s="710"/>
      <c r="H125" s="710"/>
      <c r="I125" s="710"/>
      <c r="J125" s="710"/>
      <c r="K125" s="712"/>
      <c r="L125" s="712"/>
      <c r="M125" s="712"/>
      <c r="N125" s="69" t="s">
        <v>414</v>
      </c>
      <c r="O125" s="61" t="s">
        <v>111</v>
      </c>
      <c r="P125" s="3" t="s">
        <v>30</v>
      </c>
      <c r="Q125" s="63">
        <v>0.55000000000000004</v>
      </c>
      <c r="R125" s="64">
        <f>Q125*62.4*1.12</f>
        <v>38.438400000000001</v>
      </c>
      <c r="S125" s="70">
        <v>57</v>
      </c>
      <c r="T125" s="710"/>
      <c r="U125" s="69" t="s">
        <v>412</v>
      </c>
      <c r="V125" s="61" t="s">
        <v>107</v>
      </c>
      <c r="W125" s="3" t="s">
        <v>30</v>
      </c>
      <c r="X125" s="63">
        <v>0.49</v>
      </c>
      <c r="Y125" s="64">
        <f t="shared" si="16"/>
        <v>34.245120000000007</v>
      </c>
      <c r="Z125" s="70">
        <v>52</v>
      </c>
      <c r="AA125" s="710"/>
      <c r="AB125" s="710"/>
      <c r="AC125" s="710"/>
      <c r="AD125" s="710"/>
      <c r="AE125" s="710"/>
      <c r="AF125" s="710"/>
      <c r="AG125" s="710"/>
      <c r="AH125" s="710"/>
      <c r="AI125" s="710"/>
      <c r="AJ125" s="710"/>
    </row>
    <row r="126" spans="1:36">
      <c r="A126" s="710"/>
      <c r="B126" s="712"/>
      <c r="C126" s="712"/>
      <c r="D126" s="712"/>
      <c r="E126" s="712"/>
      <c r="F126" s="710"/>
      <c r="G126" s="710"/>
      <c r="H126" s="710"/>
      <c r="I126" s="710"/>
      <c r="J126" s="710"/>
      <c r="K126" s="712"/>
      <c r="L126" s="712"/>
      <c r="M126" s="712"/>
      <c r="N126" s="71" t="s">
        <v>344</v>
      </c>
      <c r="O126" s="66" t="s">
        <v>112</v>
      </c>
      <c r="P126" s="32" t="s">
        <v>30</v>
      </c>
      <c r="Q126" s="67">
        <v>0.39</v>
      </c>
      <c r="R126" s="68">
        <f>Q126*62.4*1.12</f>
        <v>27.256320000000002</v>
      </c>
      <c r="S126" s="72">
        <v>51</v>
      </c>
      <c r="T126" s="710"/>
      <c r="U126" s="69" t="s">
        <v>413</v>
      </c>
      <c r="V126" s="61" t="s">
        <v>109</v>
      </c>
      <c r="W126" s="3" t="s">
        <v>30</v>
      </c>
      <c r="X126" s="63">
        <v>0.5</v>
      </c>
      <c r="Y126" s="64">
        <f t="shared" si="16"/>
        <v>34.944000000000003</v>
      </c>
      <c r="Z126" s="70">
        <v>56</v>
      </c>
      <c r="AA126" s="710"/>
      <c r="AB126" s="710"/>
      <c r="AC126" s="710"/>
      <c r="AD126" s="710"/>
      <c r="AE126" s="710"/>
      <c r="AF126" s="710"/>
      <c r="AG126" s="710"/>
      <c r="AH126" s="710"/>
      <c r="AI126" s="710"/>
      <c r="AJ126" s="710"/>
    </row>
    <row r="127" spans="1:36" ht="13.5" thickBot="1">
      <c r="A127" s="710"/>
      <c r="B127" s="712"/>
      <c r="C127" s="712"/>
      <c r="D127" s="712"/>
      <c r="E127" s="712"/>
      <c r="F127" s="710"/>
      <c r="G127" s="710"/>
      <c r="H127" s="710"/>
      <c r="I127" s="710"/>
      <c r="J127" s="710"/>
      <c r="K127" s="712"/>
      <c r="L127" s="712"/>
      <c r="M127" s="712"/>
      <c r="N127" s="215" t="s">
        <v>188</v>
      </c>
      <c r="O127" s="216" t="s">
        <v>189</v>
      </c>
      <c r="P127" s="217" t="s">
        <v>168</v>
      </c>
      <c r="Q127" s="218" t="s">
        <v>168</v>
      </c>
      <c r="R127" s="242" t="s">
        <v>168</v>
      </c>
      <c r="S127" s="219" t="s">
        <v>168</v>
      </c>
      <c r="T127" s="710"/>
      <c r="U127" s="69" t="s">
        <v>439</v>
      </c>
      <c r="V127" s="61" t="s">
        <v>110</v>
      </c>
      <c r="W127" s="3" t="s">
        <v>30</v>
      </c>
      <c r="X127" s="63">
        <v>0.5</v>
      </c>
      <c r="Y127" s="64">
        <f t="shared" si="16"/>
        <v>34.944000000000003</v>
      </c>
      <c r="Z127" s="70">
        <v>56</v>
      </c>
      <c r="AA127" s="710"/>
      <c r="AB127" s="710"/>
      <c r="AC127" s="710"/>
      <c r="AD127" s="710"/>
      <c r="AE127" s="710"/>
      <c r="AF127" s="710"/>
      <c r="AG127" s="710"/>
      <c r="AH127" s="710"/>
      <c r="AI127" s="710"/>
      <c r="AJ127" s="710"/>
    </row>
    <row r="128" spans="1:36">
      <c r="A128" s="710"/>
      <c r="B128" s="712"/>
      <c r="C128" s="712"/>
      <c r="D128" s="712"/>
      <c r="E128" s="712"/>
      <c r="F128" s="710"/>
      <c r="G128" s="710"/>
      <c r="H128" s="710"/>
      <c r="I128" s="710"/>
      <c r="J128" s="710"/>
      <c r="K128" s="712"/>
      <c r="L128" s="712"/>
      <c r="M128" s="712"/>
      <c r="N128" s="712"/>
      <c r="O128" s="712"/>
      <c r="P128" s="712"/>
      <c r="Q128" s="721"/>
      <c r="R128" s="710"/>
      <c r="S128" s="710"/>
      <c r="T128" s="710"/>
      <c r="U128" s="69" t="s">
        <v>414</v>
      </c>
      <c r="V128" s="61" t="s">
        <v>111</v>
      </c>
      <c r="W128" s="3" t="s">
        <v>30</v>
      </c>
      <c r="X128" s="63">
        <v>0.55000000000000004</v>
      </c>
      <c r="Y128" s="64">
        <f t="shared" si="16"/>
        <v>38.438400000000001</v>
      </c>
      <c r="Z128" s="70">
        <v>57</v>
      </c>
      <c r="AA128" s="710"/>
      <c r="AB128" s="710"/>
      <c r="AC128" s="710"/>
      <c r="AD128" s="710"/>
      <c r="AE128" s="710"/>
      <c r="AF128" s="710"/>
      <c r="AG128" s="710"/>
      <c r="AH128" s="710"/>
      <c r="AI128" s="710"/>
      <c r="AJ128" s="710"/>
    </row>
    <row r="129" spans="1:36">
      <c r="A129" s="710"/>
      <c r="B129" s="712"/>
      <c r="C129" s="712"/>
      <c r="D129" s="712"/>
      <c r="E129" s="712"/>
      <c r="F129" s="710"/>
      <c r="G129" s="710"/>
      <c r="H129" s="710"/>
      <c r="I129" s="710"/>
      <c r="J129" s="710"/>
      <c r="K129" s="712"/>
      <c r="L129" s="712"/>
      <c r="M129" s="712"/>
      <c r="N129" s="712"/>
      <c r="O129" s="712"/>
      <c r="P129" s="712"/>
      <c r="Q129" s="721"/>
      <c r="R129" s="710"/>
      <c r="S129" s="710"/>
      <c r="T129" s="710"/>
      <c r="U129" s="71" t="s">
        <v>344</v>
      </c>
      <c r="V129" s="66" t="s">
        <v>112</v>
      </c>
      <c r="W129" s="32" t="s">
        <v>30</v>
      </c>
      <c r="X129" s="67">
        <v>0.39</v>
      </c>
      <c r="Y129" s="68">
        <f t="shared" si="16"/>
        <v>27.256320000000002</v>
      </c>
      <c r="Z129" s="72">
        <v>51</v>
      </c>
      <c r="AA129" s="710"/>
      <c r="AB129" s="710"/>
      <c r="AC129" s="710"/>
      <c r="AD129" s="710"/>
      <c r="AE129" s="710"/>
      <c r="AF129" s="710"/>
      <c r="AG129" s="710"/>
      <c r="AH129" s="710"/>
      <c r="AI129" s="710"/>
      <c r="AJ129" s="710"/>
    </row>
    <row r="130" spans="1:36" ht="13.5" thickBot="1">
      <c r="A130" s="710"/>
      <c r="B130" s="712"/>
      <c r="C130" s="712"/>
      <c r="D130" s="712"/>
      <c r="E130" s="712"/>
      <c r="F130" s="710"/>
      <c r="G130" s="710"/>
      <c r="H130" s="710"/>
      <c r="I130" s="710"/>
      <c r="J130" s="710"/>
      <c r="K130" s="712"/>
      <c r="L130" s="712"/>
      <c r="M130" s="712"/>
      <c r="N130" s="712"/>
      <c r="O130" s="712"/>
      <c r="P130" s="712"/>
      <c r="Q130" s="721"/>
      <c r="R130" s="710"/>
      <c r="S130" s="710"/>
      <c r="T130" s="710"/>
      <c r="U130" s="215" t="s">
        <v>188</v>
      </c>
      <c r="V130" s="216" t="s">
        <v>189</v>
      </c>
      <c r="W130" s="217" t="s">
        <v>168</v>
      </c>
      <c r="X130" s="218" t="s">
        <v>168</v>
      </c>
      <c r="Y130" s="242" t="s">
        <v>168</v>
      </c>
      <c r="Z130" s="219" t="s">
        <v>168</v>
      </c>
      <c r="AA130" s="710"/>
      <c r="AB130" s="710"/>
      <c r="AC130" s="710"/>
      <c r="AD130" s="710"/>
      <c r="AE130" s="710"/>
      <c r="AF130" s="710"/>
      <c r="AG130" s="710"/>
      <c r="AH130" s="710"/>
      <c r="AI130" s="710"/>
      <c r="AJ130" s="710"/>
    </row>
    <row r="131" spans="1:36">
      <c r="A131" s="710"/>
      <c r="B131" s="712"/>
      <c r="C131" s="712"/>
      <c r="D131" s="712"/>
      <c r="E131" s="727"/>
      <c r="F131" s="710"/>
      <c r="G131" s="710"/>
      <c r="H131" s="710"/>
      <c r="I131" s="710"/>
      <c r="J131" s="710"/>
      <c r="K131" s="712"/>
      <c r="L131" s="712"/>
      <c r="M131" s="712"/>
      <c r="N131" s="712"/>
      <c r="O131" s="712"/>
      <c r="P131" s="712"/>
      <c r="Q131" s="721"/>
      <c r="R131" s="710"/>
      <c r="S131" s="710"/>
      <c r="T131" s="710"/>
      <c r="U131" s="710"/>
      <c r="V131" s="710"/>
      <c r="W131" s="710"/>
      <c r="X131" s="710"/>
      <c r="Y131" s="710"/>
      <c r="Z131" s="710"/>
      <c r="AA131" s="710"/>
      <c r="AB131" s="710"/>
      <c r="AC131" s="710"/>
      <c r="AD131" s="710"/>
      <c r="AE131" s="710"/>
      <c r="AF131" s="710"/>
      <c r="AG131" s="710"/>
      <c r="AH131" s="710"/>
      <c r="AI131" s="710"/>
      <c r="AJ131" s="710"/>
    </row>
    <row r="132" spans="1:36">
      <c r="A132" s="710"/>
      <c r="B132" s="712"/>
      <c r="C132" s="712"/>
      <c r="D132" s="712"/>
      <c r="E132" s="727"/>
      <c r="F132" s="710"/>
      <c r="G132" s="710"/>
      <c r="H132" s="710"/>
      <c r="I132" s="710"/>
      <c r="J132" s="710"/>
      <c r="K132" s="712"/>
      <c r="L132" s="712"/>
      <c r="M132" s="712"/>
      <c r="N132" s="712"/>
      <c r="O132" s="712"/>
      <c r="P132" s="712"/>
      <c r="Q132" s="721"/>
      <c r="R132" s="710"/>
      <c r="S132" s="710"/>
      <c r="T132" s="710"/>
      <c r="U132" s="710"/>
      <c r="V132" s="710"/>
      <c r="W132" s="710"/>
      <c r="X132" s="710"/>
      <c r="Y132" s="710"/>
      <c r="Z132" s="710"/>
      <c r="AA132" s="710"/>
      <c r="AB132" s="710"/>
      <c r="AC132" s="710"/>
      <c r="AD132" s="710"/>
      <c r="AE132" s="710"/>
      <c r="AF132" s="710"/>
      <c r="AG132" s="710"/>
      <c r="AH132" s="710"/>
      <c r="AI132" s="710"/>
      <c r="AJ132" s="710"/>
    </row>
    <row r="133" spans="1:36">
      <c r="A133" s="710"/>
      <c r="B133" s="712"/>
      <c r="C133" s="712"/>
      <c r="D133" s="712"/>
      <c r="E133" s="712"/>
      <c r="F133" s="710"/>
      <c r="G133" s="710"/>
      <c r="H133" s="710"/>
      <c r="I133" s="710"/>
      <c r="J133" s="710"/>
      <c r="K133" s="712"/>
      <c r="L133" s="712"/>
      <c r="M133" s="712"/>
      <c r="N133" s="712"/>
      <c r="O133" s="712"/>
      <c r="P133" s="712"/>
      <c r="Q133" s="721"/>
      <c r="R133" s="710"/>
      <c r="S133" s="710"/>
      <c r="T133" s="710"/>
      <c r="U133" s="710"/>
      <c r="V133" s="710"/>
      <c r="W133" s="710"/>
      <c r="X133" s="710"/>
      <c r="Y133" s="710"/>
      <c r="Z133" s="710"/>
      <c r="AA133" s="710"/>
      <c r="AB133" s="710"/>
      <c r="AC133" s="710"/>
      <c r="AD133" s="710"/>
      <c r="AE133" s="710"/>
      <c r="AF133" s="710"/>
      <c r="AG133" s="710"/>
      <c r="AH133" s="710"/>
      <c r="AI133" s="710"/>
      <c r="AJ133" s="710"/>
    </row>
    <row r="134" spans="1:36">
      <c r="A134" s="710"/>
      <c r="B134" s="712"/>
      <c r="C134" s="712"/>
      <c r="D134" s="712"/>
      <c r="E134" s="710"/>
      <c r="F134" s="710"/>
      <c r="G134" s="710"/>
      <c r="H134" s="710"/>
      <c r="I134" s="710"/>
      <c r="J134" s="710"/>
      <c r="K134" s="712"/>
      <c r="L134" s="712"/>
      <c r="M134" s="712"/>
      <c r="N134" s="712"/>
      <c r="O134" s="712"/>
      <c r="P134" s="712"/>
      <c r="Q134" s="721"/>
      <c r="R134" s="710"/>
      <c r="S134" s="710"/>
      <c r="T134" s="710"/>
      <c r="U134" s="710"/>
      <c r="V134" s="710"/>
      <c r="W134" s="710"/>
      <c r="X134" s="710"/>
      <c r="Y134" s="710"/>
      <c r="Z134" s="710"/>
      <c r="AA134" s="710"/>
      <c r="AB134" s="710"/>
      <c r="AC134" s="710"/>
      <c r="AD134" s="710"/>
      <c r="AE134" s="710"/>
      <c r="AF134" s="710"/>
      <c r="AG134" s="710"/>
      <c r="AH134" s="710"/>
      <c r="AI134" s="710"/>
      <c r="AJ134" s="710"/>
    </row>
    <row r="135" spans="1:36">
      <c r="A135" s="677"/>
      <c r="B135" s="714"/>
      <c r="C135" s="714"/>
      <c r="D135" s="714"/>
      <c r="E135" s="710"/>
      <c r="F135" s="710"/>
      <c r="G135" s="710"/>
      <c r="H135" s="710"/>
      <c r="I135" s="710"/>
      <c r="J135" s="710"/>
      <c r="K135" s="712"/>
      <c r="L135" s="712"/>
      <c r="M135" s="712"/>
      <c r="N135" s="712"/>
      <c r="O135" s="712"/>
      <c r="P135" s="712"/>
      <c r="Q135" s="721"/>
      <c r="R135" s="710"/>
      <c r="S135" s="710"/>
      <c r="T135" s="710"/>
      <c r="U135" s="710"/>
      <c r="V135" s="710"/>
      <c r="W135" s="710"/>
      <c r="X135" s="710"/>
      <c r="Y135" s="710"/>
      <c r="Z135" s="710"/>
      <c r="AA135" s="710"/>
      <c r="AB135" s="710"/>
      <c r="AC135" s="710"/>
      <c r="AD135" s="710"/>
      <c r="AE135" s="710"/>
      <c r="AF135" s="710"/>
      <c r="AG135" s="710"/>
      <c r="AH135" s="710"/>
      <c r="AI135" s="710"/>
      <c r="AJ135" s="710"/>
    </row>
    <row r="136" spans="1:36">
      <c r="A136" s="710"/>
      <c r="B136" s="712"/>
      <c r="C136" s="712"/>
      <c r="D136" s="712"/>
      <c r="E136" s="710"/>
      <c r="F136" s="710"/>
      <c r="G136" s="710"/>
      <c r="H136" s="710"/>
      <c r="I136" s="710"/>
      <c r="J136" s="710"/>
      <c r="K136" s="712"/>
      <c r="L136" s="712"/>
      <c r="M136" s="712"/>
      <c r="N136" s="712"/>
      <c r="O136" s="712"/>
      <c r="P136" s="712"/>
      <c r="Q136" s="721"/>
      <c r="R136" s="710"/>
      <c r="S136" s="710"/>
      <c r="T136" s="710"/>
      <c r="U136" s="710"/>
      <c r="V136" s="710"/>
      <c r="W136" s="710"/>
      <c r="X136" s="710"/>
      <c r="Y136" s="710"/>
      <c r="Z136" s="710"/>
      <c r="AA136" s="710"/>
      <c r="AB136" s="710"/>
      <c r="AC136" s="710"/>
      <c r="AD136" s="710"/>
      <c r="AE136" s="710"/>
      <c r="AF136" s="710"/>
      <c r="AG136" s="710"/>
      <c r="AH136" s="710"/>
      <c r="AI136" s="710"/>
      <c r="AJ136" s="710"/>
    </row>
    <row r="137" spans="1:36">
      <c r="A137" s="710"/>
      <c r="B137" s="712"/>
      <c r="C137" s="712"/>
      <c r="D137" s="712"/>
      <c r="E137" s="710"/>
      <c r="F137" s="710"/>
      <c r="G137" s="710"/>
      <c r="H137" s="710"/>
      <c r="I137" s="710"/>
      <c r="J137" s="710"/>
      <c r="K137" s="712"/>
      <c r="L137" s="712"/>
      <c r="M137" s="721"/>
      <c r="N137" s="712"/>
      <c r="O137" s="712"/>
      <c r="P137" s="712"/>
      <c r="Q137" s="721"/>
      <c r="R137" s="710"/>
      <c r="S137" s="710"/>
      <c r="T137" s="710"/>
      <c r="U137" s="710"/>
      <c r="V137" s="710"/>
      <c r="W137" s="710"/>
      <c r="X137" s="710"/>
      <c r="Y137" s="710"/>
      <c r="Z137" s="710"/>
      <c r="AA137" s="710"/>
      <c r="AB137" s="710"/>
      <c r="AC137" s="710"/>
      <c r="AD137" s="710"/>
      <c r="AE137" s="710"/>
      <c r="AF137" s="710"/>
      <c r="AG137" s="710"/>
      <c r="AH137" s="710"/>
      <c r="AI137" s="710"/>
      <c r="AJ137" s="710"/>
    </row>
    <row r="138" spans="1:36">
      <c r="A138" s="710"/>
      <c r="B138" s="712"/>
      <c r="C138" s="712"/>
      <c r="D138" s="712"/>
      <c r="E138" s="710"/>
      <c r="F138" s="721"/>
      <c r="G138" s="710"/>
      <c r="H138" s="710"/>
      <c r="I138" s="710"/>
      <c r="J138" s="710"/>
      <c r="K138" s="712"/>
      <c r="L138" s="712"/>
      <c r="M138" s="721"/>
      <c r="N138" s="712"/>
      <c r="O138" s="712"/>
      <c r="P138" s="712"/>
      <c r="Q138" s="721"/>
      <c r="R138" s="710"/>
      <c r="S138" s="710"/>
      <c r="T138" s="710"/>
      <c r="U138" s="710"/>
      <c r="V138" s="710"/>
      <c r="W138" s="710"/>
      <c r="X138" s="710"/>
      <c r="Y138" s="710"/>
      <c r="Z138" s="710"/>
      <c r="AA138" s="710"/>
      <c r="AB138" s="710"/>
      <c r="AC138" s="710"/>
      <c r="AD138" s="710"/>
      <c r="AE138" s="710"/>
      <c r="AF138" s="710"/>
      <c r="AG138" s="710"/>
      <c r="AH138" s="710"/>
      <c r="AI138" s="710"/>
      <c r="AJ138" s="710"/>
    </row>
    <row r="139" spans="1:36">
      <c r="A139" s="710"/>
      <c r="B139" s="712"/>
      <c r="C139" s="712"/>
      <c r="D139" s="712"/>
      <c r="E139" s="710"/>
      <c r="F139" s="721"/>
      <c r="G139" s="710"/>
      <c r="H139" s="710"/>
      <c r="I139" s="710"/>
      <c r="J139" s="710"/>
      <c r="K139" s="712"/>
      <c r="L139" s="712"/>
      <c r="M139" s="721"/>
      <c r="N139" s="712"/>
      <c r="O139" s="712"/>
      <c r="P139" s="712"/>
      <c r="Q139" s="721"/>
      <c r="R139" s="710"/>
      <c r="S139" s="710"/>
      <c r="T139" s="710"/>
      <c r="U139" s="710"/>
      <c r="V139" s="710"/>
      <c r="W139" s="710"/>
      <c r="X139" s="710"/>
      <c r="Y139" s="710"/>
      <c r="Z139" s="710"/>
      <c r="AA139" s="710"/>
      <c r="AB139" s="710"/>
      <c r="AC139" s="710"/>
      <c r="AD139" s="710"/>
      <c r="AE139" s="710"/>
      <c r="AF139" s="710"/>
      <c r="AG139" s="710"/>
      <c r="AH139" s="710"/>
      <c r="AI139" s="710"/>
      <c r="AJ139" s="710"/>
    </row>
    <row r="140" spans="1:36">
      <c r="A140" s="710"/>
      <c r="B140" s="712"/>
      <c r="C140" s="712"/>
      <c r="D140" s="712"/>
      <c r="E140" s="710"/>
      <c r="F140" s="721"/>
      <c r="G140" s="710"/>
      <c r="H140" s="710"/>
      <c r="I140" s="710"/>
      <c r="J140" s="710"/>
      <c r="K140" s="712"/>
      <c r="L140" s="712"/>
      <c r="M140" s="721"/>
      <c r="N140" s="712"/>
      <c r="O140" s="712"/>
      <c r="P140" s="712"/>
      <c r="Q140" s="721"/>
      <c r="R140" s="710"/>
      <c r="S140" s="710"/>
      <c r="T140" s="710"/>
      <c r="U140" s="710"/>
      <c r="V140" s="710"/>
      <c r="W140" s="710"/>
      <c r="X140" s="710"/>
      <c r="Y140" s="710"/>
      <c r="Z140" s="710"/>
      <c r="AA140" s="710"/>
      <c r="AB140" s="710"/>
      <c r="AC140" s="710"/>
      <c r="AD140" s="710"/>
      <c r="AE140" s="710"/>
      <c r="AF140" s="710"/>
      <c r="AG140" s="710"/>
      <c r="AH140" s="710"/>
      <c r="AI140" s="710"/>
      <c r="AJ140" s="710"/>
    </row>
    <row r="141" spans="1:36">
      <c r="A141" s="677"/>
      <c r="B141" s="714"/>
      <c r="C141" s="714"/>
      <c r="D141" s="714"/>
      <c r="E141" s="710"/>
      <c r="F141" s="721"/>
      <c r="G141" s="710"/>
      <c r="H141" s="710"/>
      <c r="I141" s="710"/>
      <c r="J141" s="710"/>
      <c r="K141" s="712"/>
      <c r="L141" s="712"/>
      <c r="M141" s="721"/>
      <c r="N141" s="712"/>
      <c r="O141" s="712"/>
      <c r="P141" s="712"/>
      <c r="Q141" s="721"/>
      <c r="R141" s="710"/>
      <c r="S141" s="710"/>
      <c r="T141" s="710"/>
      <c r="U141" s="710"/>
      <c r="V141" s="710"/>
      <c r="W141" s="710"/>
      <c r="X141" s="710"/>
      <c r="Y141" s="710"/>
      <c r="Z141" s="710"/>
      <c r="AA141" s="710"/>
      <c r="AB141" s="710"/>
      <c r="AC141" s="710"/>
      <c r="AD141" s="710"/>
      <c r="AE141" s="710"/>
      <c r="AF141" s="710"/>
      <c r="AG141" s="710"/>
      <c r="AH141" s="710"/>
      <c r="AI141" s="710"/>
      <c r="AJ141" s="710"/>
    </row>
    <row r="142" spans="1:36">
      <c r="A142" s="710"/>
      <c r="B142" s="712"/>
      <c r="C142" s="712"/>
      <c r="D142" s="712"/>
      <c r="E142" s="710"/>
      <c r="F142" s="721"/>
      <c r="G142" s="710"/>
      <c r="H142" s="710"/>
      <c r="I142" s="710"/>
      <c r="J142" s="710"/>
      <c r="K142" s="712"/>
      <c r="L142" s="712"/>
      <c r="M142" s="721"/>
      <c r="N142" s="712"/>
      <c r="O142" s="712"/>
      <c r="P142" s="712"/>
      <c r="Q142" s="721"/>
      <c r="R142" s="710"/>
      <c r="S142" s="710"/>
      <c r="T142" s="710"/>
      <c r="U142" s="710"/>
      <c r="V142" s="710"/>
      <c r="W142" s="710"/>
      <c r="X142" s="710"/>
      <c r="Y142" s="710"/>
      <c r="Z142" s="710"/>
      <c r="AA142" s="710"/>
      <c r="AB142" s="710"/>
      <c r="AC142" s="710"/>
      <c r="AD142" s="710"/>
      <c r="AE142" s="710"/>
      <c r="AF142" s="710"/>
      <c r="AG142" s="710"/>
      <c r="AH142" s="710"/>
      <c r="AI142" s="710"/>
      <c r="AJ142" s="710"/>
    </row>
    <row r="143" spans="1:36">
      <c r="A143" s="728"/>
      <c r="B143" s="712"/>
      <c r="C143" s="712"/>
      <c r="D143" s="712"/>
      <c r="E143" s="710"/>
      <c r="F143" s="721"/>
      <c r="G143" s="710"/>
      <c r="H143" s="710"/>
      <c r="I143" s="710"/>
      <c r="J143" s="710"/>
      <c r="K143" s="712"/>
      <c r="L143" s="712"/>
      <c r="M143" s="721"/>
      <c r="N143" s="712"/>
      <c r="O143" s="712"/>
      <c r="P143" s="712"/>
      <c r="Q143" s="721"/>
      <c r="R143" s="710"/>
      <c r="S143" s="710"/>
      <c r="T143" s="710"/>
      <c r="U143" s="710"/>
      <c r="V143" s="710"/>
      <c r="W143" s="710"/>
      <c r="X143" s="710"/>
      <c r="Y143" s="710"/>
      <c r="Z143" s="710"/>
      <c r="AA143" s="710"/>
      <c r="AB143" s="710"/>
      <c r="AC143" s="710"/>
      <c r="AD143" s="710"/>
      <c r="AE143" s="710"/>
      <c r="AF143" s="710"/>
      <c r="AG143" s="710"/>
      <c r="AH143" s="710"/>
      <c r="AI143" s="710"/>
      <c r="AJ143" s="710"/>
    </row>
    <row r="144" spans="1:36">
      <c r="A144" s="728"/>
      <c r="B144" s="712"/>
      <c r="C144" s="712"/>
      <c r="D144" s="712"/>
      <c r="E144" s="710"/>
      <c r="F144" s="721"/>
      <c r="G144" s="710"/>
      <c r="H144" s="710"/>
      <c r="I144" s="710"/>
      <c r="J144" s="710"/>
      <c r="K144" s="712"/>
      <c r="L144" s="712"/>
      <c r="M144" s="721"/>
      <c r="N144" s="677"/>
      <c r="O144" s="729"/>
      <c r="P144" s="712"/>
      <c r="Q144" s="727"/>
      <c r="R144" s="734"/>
      <c r="S144" s="712"/>
      <c r="T144" s="710"/>
      <c r="U144" s="710"/>
      <c r="V144" s="710"/>
      <c r="W144" s="710"/>
      <c r="X144" s="710"/>
      <c r="Y144" s="710"/>
      <c r="Z144" s="710"/>
      <c r="AA144" s="710"/>
      <c r="AB144" s="710"/>
      <c r="AC144" s="710"/>
      <c r="AD144" s="710"/>
      <c r="AE144" s="710"/>
      <c r="AF144" s="710"/>
      <c r="AG144" s="710"/>
      <c r="AH144" s="710"/>
      <c r="AI144" s="710"/>
      <c r="AJ144" s="710"/>
    </row>
    <row r="145" spans="1:36">
      <c r="A145" s="728"/>
      <c r="B145" s="712"/>
      <c r="C145" s="712"/>
      <c r="D145" s="712"/>
      <c r="E145" s="710"/>
      <c r="F145" s="721"/>
      <c r="G145" s="710"/>
      <c r="H145" s="710"/>
      <c r="I145" s="710"/>
      <c r="J145" s="710"/>
      <c r="K145" s="712"/>
      <c r="L145" s="712"/>
      <c r="M145" s="721"/>
      <c r="N145" s="677"/>
      <c r="O145" s="729"/>
      <c r="P145" s="712"/>
      <c r="Q145" s="727"/>
      <c r="R145" s="734"/>
      <c r="S145" s="712"/>
      <c r="T145" s="710"/>
      <c r="U145" s="710"/>
      <c r="V145" s="710"/>
      <c r="W145" s="710"/>
      <c r="X145" s="710"/>
      <c r="Y145" s="710"/>
      <c r="Z145" s="710"/>
      <c r="AA145" s="710"/>
      <c r="AB145" s="710"/>
      <c r="AC145" s="710"/>
      <c r="AD145" s="710"/>
      <c r="AE145" s="710"/>
      <c r="AF145" s="710"/>
      <c r="AG145" s="710"/>
      <c r="AH145" s="710"/>
      <c r="AI145" s="710"/>
      <c r="AJ145" s="710"/>
    </row>
    <row r="146" spans="1:36">
      <c r="A146" s="728"/>
      <c r="B146" s="712"/>
      <c r="C146" s="712"/>
      <c r="D146" s="712"/>
      <c r="E146" s="710"/>
      <c r="F146" s="721"/>
      <c r="G146" s="710"/>
      <c r="H146" s="710"/>
      <c r="I146" s="710"/>
      <c r="J146" s="710"/>
      <c r="K146" s="712"/>
      <c r="L146" s="712"/>
      <c r="M146" s="721"/>
      <c r="N146" s="677"/>
      <c r="O146" s="729"/>
      <c r="P146" s="712"/>
      <c r="Q146" s="727"/>
      <c r="R146" s="734"/>
      <c r="S146" s="712"/>
      <c r="T146" s="710"/>
      <c r="U146" s="710"/>
      <c r="V146" s="710"/>
      <c r="W146" s="710"/>
      <c r="X146" s="710"/>
      <c r="Y146" s="710"/>
      <c r="Z146" s="710"/>
      <c r="AA146" s="710"/>
      <c r="AB146" s="710"/>
      <c r="AC146" s="710"/>
      <c r="AD146" s="710"/>
      <c r="AE146" s="710"/>
      <c r="AF146" s="710"/>
      <c r="AG146" s="710"/>
      <c r="AH146" s="710"/>
      <c r="AI146" s="710"/>
      <c r="AJ146" s="710"/>
    </row>
    <row r="147" spans="1:36">
      <c r="A147" s="725"/>
      <c r="B147" s="658"/>
      <c r="C147" s="658"/>
      <c r="D147" s="658"/>
      <c r="E147" s="710"/>
      <c r="F147" s="721"/>
      <c r="G147" s="710"/>
      <c r="H147" s="710"/>
      <c r="I147" s="710"/>
      <c r="J147" s="710"/>
      <c r="K147" s="712"/>
      <c r="L147" s="712"/>
      <c r="M147" s="721"/>
      <c r="N147" s="677"/>
      <c r="O147" s="729"/>
      <c r="P147" s="712"/>
      <c r="Q147" s="727"/>
      <c r="R147" s="734"/>
      <c r="S147" s="712"/>
      <c r="T147" s="710"/>
      <c r="U147" s="710"/>
      <c r="V147" s="710"/>
      <c r="W147" s="710"/>
      <c r="X147" s="710"/>
      <c r="Y147" s="710"/>
      <c r="Z147" s="710"/>
      <c r="AA147" s="710"/>
      <c r="AB147" s="710"/>
      <c r="AC147" s="710"/>
      <c r="AD147" s="710"/>
      <c r="AE147" s="710"/>
      <c r="AF147" s="710"/>
      <c r="AG147" s="710"/>
      <c r="AH147" s="710"/>
      <c r="AI147" s="710"/>
      <c r="AJ147" s="710"/>
    </row>
    <row r="148" spans="1:36">
      <c r="A148" s="728"/>
      <c r="B148" s="712"/>
      <c r="C148" s="712"/>
      <c r="D148" s="712"/>
      <c r="E148" s="710"/>
      <c r="F148" s="721"/>
      <c r="G148" s="710"/>
      <c r="H148" s="710"/>
      <c r="I148" s="710"/>
      <c r="J148" s="710"/>
      <c r="K148" s="712"/>
      <c r="L148" s="712"/>
      <c r="M148" s="721"/>
      <c r="N148" s="677"/>
      <c r="O148" s="729"/>
      <c r="P148" s="712"/>
      <c r="Q148" s="727"/>
      <c r="R148" s="734"/>
      <c r="S148" s="712"/>
      <c r="T148" s="710"/>
      <c r="U148" s="710"/>
      <c r="V148" s="710"/>
      <c r="W148" s="710"/>
      <c r="X148" s="710"/>
      <c r="Y148" s="710"/>
      <c r="Z148" s="710"/>
      <c r="AA148" s="710"/>
      <c r="AB148" s="710"/>
      <c r="AC148" s="710"/>
      <c r="AD148" s="710"/>
      <c r="AE148" s="710"/>
      <c r="AF148" s="710"/>
      <c r="AG148" s="710"/>
      <c r="AH148" s="710"/>
      <c r="AI148" s="710"/>
      <c r="AJ148" s="710"/>
    </row>
    <row r="149" spans="1:36">
      <c r="A149" s="728"/>
      <c r="B149" s="712"/>
      <c r="C149" s="712"/>
      <c r="D149" s="712"/>
      <c r="E149" s="710"/>
      <c r="F149" s="721"/>
      <c r="G149" s="712"/>
      <c r="H149" s="712"/>
      <c r="I149" s="712"/>
      <c r="J149" s="712"/>
      <c r="K149" s="712"/>
      <c r="L149" s="712"/>
      <c r="M149" s="721"/>
      <c r="N149" s="677"/>
      <c r="O149" s="729"/>
      <c r="P149" s="712"/>
      <c r="Q149" s="727"/>
      <c r="R149" s="734"/>
      <c r="S149" s="712"/>
      <c r="T149" s="710"/>
      <c r="U149" s="710"/>
      <c r="V149" s="710"/>
      <c r="W149" s="710"/>
      <c r="X149" s="710"/>
      <c r="Y149" s="710"/>
      <c r="Z149" s="710"/>
      <c r="AA149" s="710"/>
      <c r="AB149" s="710"/>
      <c r="AC149" s="710"/>
      <c r="AD149" s="710"/>
      <c r="AE149" s="710"/>
      <c r="AF149" s="710"/>
      <c r="AG149" s="710"/>
      <c r="AH149" s="710"/>
      <c r="AI149" s="710"/>
      <c r="AJ149" s="710"/>
    </row>
    <row r="150" spans="1:36">
      <c r="A150" s="728"/>
      <c r="B150" s="712"/>
      <c r="C150" s="712"/>
      <c r="D150" s="712"/>
      <c r="E150" s="710"/>
      <c r="F150" s="721"/>
      <c r="G150" s="712"/>
      <c r="H150" s="712"/>
      <c r="I150" s="712"/>
      <c r="J150" s="712"/>
      <c r="K150" s="712"/>
      <c r="L150" s="712"/>
      <c r="M150" s="721"/>
      <c r="N150" s="677"/>
      <c r="O150" s="729"/>
      <c r="P150" s="712"/>
      <c r="Q150" s="727"/>
      <c r="R150" s="734"/>
      <c r="S150" s="712"/>
      <c r="T150" s="710"/>
      <c r="U150" s="710"/>
      <c r="V150" s="710"/>
      <c r="W150" s="710"/>
      <c r="X150" s="710"/>
      <c r="Y150" s="710"/>
      <c r="Z150" s="710"/>
      <c r="AA150" s="710"/>
      <c r="AB150" s="710"/>
      <c r="AC150" s="710"/>
      <c r="AD150" s="710"/>
      <c r="AE150" s="710"/>
      <c r="AF150" s="710"/>
      <c r="AG150" s="710"/>
      <c r="AH150" s="710"/>
      <c r="AI150" s="710"/>
      <c r="AJ150" s="710"/>
    </row>
    <row r="151" spans="1:36">
      <c r="A151" s="728"/>
      <c r="B151" s="712"/>
      <c r="C151" s="712"/>
      <c r="D151" s="712"/>
      <c r="E151" s="710"/>
      <c r="F151" s="721"/>
      <c r="G151" s="710"/>
      <c r="H151" s="710"/>
      <c r="I151" s="710"/>
      <c r="J151" s="710"/>
      <c r="K151" s="710"/>
      <c r="L151" s="712"/>
      <c r="M151" s="721"/>
      <c r="N151" s="677"/>
      <c r="O151" s="729"/>
      <c r="P151" s="712"/>
      <c r="Q151" s="727"/>
      <c r="R151" s="734"/>
      <c r="S151" s="712"/>
      <c r="T151" s="710"/>
      <c r="U151" s="710"/>
      <c r="V151" s="710"/>
      <c r="W151" s="710"/>
      <c r="X151" s="710"/>
      <c r="Y151" s="710"/>
      <c r="Z151" s="710"/>
      <c r="AA151" s="710"/>
      <c r="AB151" s="710"/>
      <c r="AC151" s="710"/>
      <c r="AD151" s="710"/>
      <c r="AE151" s="710"/>
      <c r="AF151" s="710"/>
      <c r="AG151" s="710"/>
      <c r="AH151" s="710"/>
      <c r="AI151" s="710"/>
      <c r="AJ151" s="710"/>
    </row>
    <row r="152" spans="1:36">
      <c r="A152" s="725"/>
      <c r="B152" s="658"/>
      <c r="C152" s="658"/>
      <c r="D152" s="658"/>
      <c r="E152" s="710"/>
      <c r="F152" s="721"/>
      <c r="G152" s="710"/>
      <c r="H152" s="710"/>
      <c r="I152" s="710"/>
      <c r="J152" s="710"/>
      <c r="K152" s="710"/>
      <c r="L152" s="712"/>
      <c r="M152" s="712"/>
      <c r="N152" s="677"/>
      <c r="O152" s="729"/>
      <c r="P152" s="712"/>
      <c r="Q152" s="727"/>
      <c r="R152" s="734"/>
      <c r="S152" s="712"/>
      <c r="T152" s="710"/>
      <c r="U152" s="710"/>
      <c r="V152" s="710"/>
      <c r="W152" s="710"/>
      <c r="X152" s="710"/>
      <c r="Y152" s="710"/>
      <c r="Z152" s="710"/>
      <c r="AA152" s="710"/>
      <c r="AB152" s="710"/>
      <c r="AC152" s="710"/>
      <c r="AD152" s="710"/>
      <c r="AE152" s="710"/>
      <c r="AF152" s="710"/>
      <c r="AG152" s="710"/>
      <c r="AH152" s="710"/>
      <c r="AI152" s="710"/>
      <c r="AJ152" s="710"/>
    </row>
    <row r="153" spans="1:36">
      <c r="A153" s="728"/>
      <c r="B153" s="712"/>
      <c r="C153" s="712"/>
      <c r="D153" s="712"/>
      <c r="E153" s="710"/>
      <c r="F153" s="721"/>
      <c r="G153" s="712"/>
      <c r="H153" s="710"/>
      <c r="I153" s="710"/>
      <c r="J153" s="710"/>
      <c r="K153" s="710"/>
      <c r="L153" s="712"/>
      <c r="M153" s="712"/>
      <c r="N153" s="677"/>
      <c r="O153" s="729"/>
      <c r="P153" s="712"/>
      <c r="Q153" s="727"/>
      <c r="R153" s="734"/>
      <c r="S153" s="712"/>
      <c r="T153" s="710"/>
      <c r="U153" s="710"/>
      <c r="V153" s="710"/>
      <c r="W153" s="710"/>
      <c r="X153" s="710"/>
      <c r="Y153" s="710"/>
      <c r="Z153" s="710"/>
      <c r="AA153" s="710"/>
      <c r="AB153" s="710"/>
      <c r="AC153" s="710"/>
      <c r="AD153" s="710"/>
      <c r="AE153" s="710"/>
      <c r="AF153" s="710"/>
      <c r="AG153" s="710"/>
      <c r="AH153" s="710"/>
      <c r="AI153" s="710"/>
      <c r="AJ153" s="710"/>
    </row>
    <row r="154" spans="1:36">
      <c r="A154" s="728"/>
      <c r="B154" s="712"/>
      <c r="C154" s="712"/>
      <c r="D154" s="712"/>
      <c r="E154" s="710"/>
      <c r="F154" s="721"/>
      <c r="G154" s="712"/>
      <c r="H154" s="710"/>
      <c r="I154" s="710"/>
      <c r="J154" s="710"/>
      <c r="K154" s="712"/>
      <c r="L154" s="712"/>
      <c r="M154" s="712"/>
      <c r="N154" s="677"/>
      <c r="O154" s="729"/>
      <c r="P154" s="712"/>
      <c r="Q154" s="727"/>
      <c r="R154" s="734"/>
      <c r="S154" s="712"/>
      <c r="T154" s="710"/>
      <c r="U154" s="710"/>
      <c r="V154" s="710"/>
      <c r="W154" s="710"/>
      <c r="X154" s="710"/>
      <c r="Y154" s="710"/>
      <c r="Z154" s="710"/>
      <c r="AA154" s="710"/>
      <c r="AB154" s="710"/>
      <c r="AC154" s="710"/>
      <c r="AD154" s="710"/>
      <c r="AE154" s="710"/>
      <c r="AF154" s="710"/>
      <c r="AG154" s="710"/>
      <c r="AH154" s="710"/>
      <c r="AI154" s="710"/>
      <c r="AJ154" s="710"/>
    </row>
    <row r="155" spans="1:36">
      <c r="A155" s="728"/>
      <c r="B155" s="712"/>
      <c r="C155" s="712"/>
      <c r="D155" s="712"/>
      <c r="E155" s="710"/>
      <c r="F155" s="721"/>
      <c r="G155" s="712"/>
      <c r="H155" s="710"/>
      <c r="I155" s="710"/>
      <c r="J155" s="710"/>
      <c r="K155" s="712"/>
      <c r="L155" s="712"/>
      <c r="M155" s="712"/>
      <c r="N155" s="712"/>
      <c r="O155" s="712"/>
      <c r="P155" s="712"/>
      <c r="Q155" s="721"/>
      <c r="R155" s="710"/>
      <c r="S155" s="710"/>
      <c r="T155" s="710"/>
      <c r="U155" s="710"/>
      <c r="V155" s="710"/>
      <c r="W155" s="710"/>
      <c r="X155" s="710"/>
      <c r="Y155" s="710"/>
      <c r="Z155" s="710"/>
      <c r="AA155" s="710"/>
      <c r="AB155" s="710"/>
      <c r="AC155" s="710"/>
      <c r="AD155" s="710"/>
      <c r="AE155" s="710"/>
      <c r="AF155" s="710"/>
      <c r="AG155" s="710"/>
      <c r="AH155" s="710"/>
      <c r="AI155" s="710"/>
      <c r="AJ155" s="710"/>
    </row>
    <row r="156" spans="1:36">
      <c r="A156" s="728"/>
      <c r="B156" s="712"/>
      <c r="C156" s="712"/>
      <c r="D156" s="712"/>
      <c r="E156" s="710"/>
      <c r="F156" s="721"/>
      <c r="G156" s="712"/>
      <c r="H156" s="710"/>
      <c r="I156" s="710"/>
      <c r="J156" s="710"/>
      <c r="K156" s="710"/>
      <c r="L156" s="712"/>
      <c r="M156" s="712"/>
      <c r="N156" s="712"/>
      <c r="O156" s="712"/>
      <c r="P156" s="712"/>
      <c r="Q156" s="721"/>
      <c r="R156" s="710"/>
      <c r="S156" s="710"/>
      <c r="T156" s="710"/>
      <c r="U156" s="710"/>
      <c r="V156" s="710"/>
      <c r="W156" s="710"/>
      <c r="X156" s="710"/>
      <c r="Y156" s="710"/>
      <c r="Z156" s="710"/>
      <c r="AA156" s="710"/>
      <c r="AB156" s="710"/>
      <c r="AC156" s="710"/>
      <c r="AD156" s="710"/>
      <c r="AE156" s="710"/>
      <c r="AF156" s="710"/>
      <c r="AG156" s="710"/>
      <c r="AH156" s="710"/>
      <c r="AI156" s="710"/>
      <c r="AJ156" s="710"/>
    </row>
    <row r="157" spans="1:36">
      <c r="A157" s="728"/>
      <c r="B157" s="712"/>
      <c r="C157" s="712"/>
      <c r="D157" s="712"/>
      <c r="E157" s="710"/>
      <c r="F157" s="721"/>
      <c r="G157" s="712"/>
      <c r="H157" s="710"/>
      <c r="I157" s="710"/>
      <c r="J157" s="710"/>
      <c r="K157" s="710"/>
      <c r="L157" s="712"/>
      <c r="M157" s="712"/>
      <c r="N157" s="712"/>
      <c r="O157" s="712"/>
      <c r="P157" s="712"/>
      <c r="Q157" s="721"/>
      <c r="R157" s="710"/>
      <c r="S157" s="710"/>
      <c r="T157" s="710"/>
      <c r="U157" s="710"/>
      <c r="V157" s="710"/>
      <c r="W157" s="710"/>
      <c r="X157" s="710"/>
      <c r="Y157" s="710"/>
      <c r="Z157" s="710"/>
      <c r="AA157" s="710"/>
      <c r="AB157" s="710"/>
      <c r="AC157" s="710"/>
      <c r="AD157" s="710"/>
      <c r="AE157" s="710"/>
      <c r="AF157" s="710"/>
      <c r="AG157" s="710"/>
      <c r="AH157" s="710"/>
      <c r="AI157" s="710"/>
      <c r="AJ157" s="710"/>
    </row>
    <row r="158" spans="1:36">
      <c r="A158" s="728"/>
      <c r="B158" s="712"/>
      <c r="C158" s="712"/>
      <c r="D158" s="712"/>
      <c r="E158" s="710"/>
      <c r="F158" s="721"/>
      <c r="G158" s="712"/>
      <c r="H158" s="710"/>
      <c r="I158" s="710"/>
      <c r="J158" s="710"/>
      <c r="K158" s="710"/>
      <c r="L158" s="712"/>
      <c r="M158" s="712"/>
      <c r="N158" s="712"/>
      <c r="O158" s="712"/>
      <c r="P158" s="712"/>
      <c r="Q158" s="721"/>
      <c r="R158" s="710"/>
      <c r="S158" s="710"/>
      <c r="T158" s="710"/>
      <c r="U158" s="710"/>
      <c r="V158" s="710"/>
      <c r="W158" s="710"/>
      <c r="X158" s="710"/>
      <c r="Y158" s="710"/>
      <c r="Z158" s="710"/>
      <c r="AA158" s="710"/>
      <c r="AB158" s="710"/>
      <c r="AC158" s="710"/>
      <c r="AD158" s="710"/>
      <c r="AE158" s="710"/>
      <c r="AF158" s="710"/>
      <c r="AG158" s="710"/>
      <c r="AH158" s="710"/>
      <c r="AI158" s="710"/>
      <c r="AJ158" s="710"/>
    </row>
    <row r="159" spans="1:36">
      <c r="A159" s="725"/>
      <c r="B159" s="658"/>
      <c r="C159" s="658"/>
      <c r="D159" s="658"/>
      <c r="E159" s="710"/>
      <c r="F159" s="721"/>
      <c r="G159" s="712"/>
      <c r="H159" s="710"/>
      <c r="I159" s="710"/>
      <c r="J159" s="710"/>
      <c r="K159" s="710"/>
      <c r="L159" s="712"/>
      <c r="M159" s="712"/>
      <c r="N159" s="712"/>
      <c r="O159" s="712"/>
      <c r="P159" s="712"/>
      <c r="Q159" s="721"/>
      <c r="R159" s="710"/>
      <c r="S159" s="710"/>
      <c r="T159" s="710"/>
      <c r="U159" s="710"/>
      <c r="V159" s="710"/>
      <c r="W159" s="710"/>
      <c r="X159" s="710"/>
      <c r="Y159" s="710"/>
      <c r="Z159" s="710"/>
      <c r="AA159" s="710"/>
      <c r="AB159" s="710"/>
      <c r="AC159" s="710"/>
      <c r="AD159" s="710"/>
      <c r="AE159" s="710"/>
      <c r="AF159" s="710"/>
      <c r="AG159" s="710"/>
      <c r="AH159" s="710"/>
      <c r="AI159" s="710"/>
      <c r="AJ159" s="710"/>
    </row>
    <row r="160" spans="1:36">
      <c r="A160" s="728"/>
      <c r="B160" s="712"/>
      <c r="C160" s="712"/>
      <c r="D160" s="712"/>
      <c r="E160" s="710"/>
      <c r="F160" s="721"/>
      <c r="G160" s="712"/>
      <c r="H160" s="710"/>
      <c r="I160" s="710"/>
      <c r="J160" s="710"/>
      <c r="K160" s="710"/>
      <c r="L160" s="712"/>
      <c r="M160" s="712"/>
      <c r="N160" s="712"/>
      <c r="O160" s="712"/>
      <c r="P160" s="712"/>
      <c r="Q160" s="721"/>
      <c r="R160" s="710"/>
      <c r="S160" s="710"/>
      <c r="T160" s="710"/>
      <c r="U160" s="710"/>
      <c r="V160" s="710"/>
      <c r="W160" s="710"/>
      <c r="X160" s="710"/>
      <c r="Y160" s="710"/>
      <c r="Z160" s="710"/>
      <c r="AA160" s="710"/>
      <c r="AB160" s="710"/>
      <c r="AC160" s="710"/>
      <c r="AD160" s="710"/>
      <c r="AE160" s="710"/>
      <c r="AF160" s="710"/>
      <c r="AG160" s="710"/>
      <c r="AH160" s="710"/>
      <c r="AI160" s="710"/>
      <c r="AJ160" s="710"/>
    </row>
    <row r="161" spans="1:36">
      <c r="A161" s="710"/>
      <c r="B161" s="712"/>
      <c r="C161" s="712"/>
      <c r="D161" s="712"/>
      <c r="E161" s="710"/>
      <c r="F161" s="721"/>
      <c r="G161" s="712"/>
      <c r="H161" s="710"/>
      <c r="I161" s="710"/>
      <c r="J161" s="710"/>
      <c r="K161" s="710"/>
      <c r="L161" s="712"/>
      <c r="M161" s="712"/>
      <c r="N161" s="712"/>
      <c r="O161" s="712"/>
      <c r="P161" s="712"/>
      <c r="Q161" s="721"/>
      <c r="R161" s="710"/>
      <c r="S161" s="710"/>
      <c r="T161" s="710"/>
      <c r="U161" s="710"/>
      <c r="V161" s="710"/>
      <c r="W161" s="710"/>
      <c r="X161" s="710"/>
      <c r="Y161" s="710"/>
      <c r="Z161" s="710"/>
      <c r="AA161" s="710"/>
      <c r="AB161" s="710"/>
      <c r="AC161" s="710"/>
      <c r="AD161" s="710"/>
      <c r="AE161" s="710"/>
      <c r="AF161" s="710"/>
      <c r="AG161" s="710"/>
      <c r="AH161" s="710"/>
      <c r="AI161" s="710"/>
      <c r="AJ161" s="710"/>
    </row>
    <row r="162" spans="1:36">
      <c r="A162" s="710"/>
      <c r="B162" s="712"/>
      <c r="C162" s="712"/>
      <c r="D162" s="712"/>
      <c r="E162" s="710"/>
      <c r="F162" s="721"/>
      <c r="G162" s="712"/>
      <c r="H162" s="710"/>
      <c r="I162" s="710"/>
      <c r="J162" s="710"/>
      <c r="K162" s="710"/>
      <c r="L162" s="712"/>
      <c r="M162" s="712"/>
      <c r="N162" s="712"/>
      <c r="O162" s="712"/>
      <c r="P162" s="712"/>
      <c r="Q162" s="721"/>
      <c r="R162" s="710"/>
      <c r="S162" s="710"/>
      <c r="T162" s="710"/>
      <c r="U162" s="710"/>
      <c r="V162" s="710"/>
      <c r="W162" s="710"/>
      <c r="X162" s="710"/>
      <c r="Y162" s="710"/>
      <c r="Z162" s="710"/>
      <c r="AA162" s="710"/>
      <c r="AB162" s="710"/>
      <c r="AC162" s="710"/>
      <c r="AD162" s="710"/>
      <c r="AE162" s="710"/>
      <c r="AF162" s="710"/>
      <c r="AG162" s="710"/>
      <c r="AH162" s="710"/>
      <c r="AI162" s="710"/>
      <c r="AJ162" s="710"/>
    </row>
    <row r="163" spans="1:36">
      <c r="A163" s="710"/>
      <c r="B163" s="712"/>
      <c r="C163" s="712"/>
      <c r="D163" s="712"/>
      <c r="E163" s="710"/>
      <c r="F163" s="721"/>
      <c r="G163" s="712"/>
      <c r="H163" s="710"/>
      <c r="I163" s="710"/>
      <c r="J163" s="710"/>
      <c r="K163" s="710"/>
      <c r="L163" s="712"/>
      <c r="M163" s="712"/>
      <c r="N163" s="712"/>
      <c r="O163" s="712"/>
      <c r="P163" s="712"/>
      <c r="Q163" s="721"/>
      <c r="R163" s="710"/>
      <c r="S163" s="710"/>
      <c r="T163" s="710"/>
      <c r="U163" s="710"/>
      <c r="V163" s="710"/>
      <c r="W163" s="710"/>
      <c r="X163" s="710"/>
      <c r="Y163" s="710"/>
      <c r="Z163" s="710"/>
      <c r="AA163" s="710"/>
      <c r="AB163" s="710"/>
      <c r="AC163" s="710"/>
      <c r="AD163" s="710"/>
      <c r="AE163" s="710"/>
      <c r="AF163" s="710"/>
      <c r="AG163" s="710"/>
      <c r="AH163" s="710"/>
      <c r="AI163" s="710"/>
      <c r="AJ163" s="710"/>
    </row>
    <row r="164" spans="1:36">
      <c r="A164" s="712"/>
      <c r="B164" s="712"/>
      <c r="C164" s="712"/>
      <c r="D164" s="712"/>
      <c r="E164" s="712"/>
      <c r="F164" s="721"/>
      <c r="G164" s="712"/>
      <c r="H164" s="710"/>
      <c r="I164" s="710"/>
      <c r="J164" s="710"/>
      <c r="K164" s="710"/>
      <c r="L164" s="712"/>
      <c r="M164" s="712"/>
      <c r="N164" s="712"/>
      <c r="O164" s="712"/>
      <c r="P164" s="712"/>
      <c r="Q164" s="721"/>
      <c r="R164" s="710"/>
      <c r="S164" s="710"/>
      <c r="T164" s="710"/>
      <c r="U164" s="710"/>
      <c r="V164" s="710"/>
      <c r="W164" s="710"/>
      <c r="X164" s="710"/>
      <c r="Y164" s="710"/>
      <c r="Z164" s="710"/>
      <c r="AA164" s="710"/>
      <c r="AB164" s="710"/>
      <c r="AC164" s="710"/>
      <c r="AD164" s="710"/>
      <c r="AE164" s="710"/>
      <c r="AF164" s="710"/>
      <c r="AG164" s="710"/>
      <c r="AH164" s="710"/>
      <c r="AI164" s="710"/>
      <c r="AJ164" s="710"/>
    </row>
    <row r="165" spans="1:36">
      <c r="A165" s="712"/>
      <c r="B165" s="712"/>
      <c r="C165" s="712"/>
      <c r="D165" s="712"/>
      <c r="E165" s="712"/>
      <c r="F165" s="721"/>
      <c r="G165" s="712"/>
      <c r="H165" s="710"/>
      <c r="I165" s="710"/>
      <c r="J165" s="710"/>
      <c r="K165" s="710"/>
      <c r="L165" s="712"/>
      <c r="M165" s="712"/>
      <c r="N165" s="712"/>
      <c r="O165" s="712"/>
      <c r="P165" s="712"/>
      <c r="Q165" s="721"/>
      <c r="R165" s="710"/>
      <c r="S165" s="710"/>
      <c r="T165" s="710"/>
      <c r="U165" s="710"/>
      <c r="V165" s="710"/>
      <c r="W165" s="710"/>
      <c r="X165" s="710"/>
      <c r="Y165" s="710"/>
      <c r="Z165" s="710"/>
      <c r="AA165" s="710"/>
      <c r="AB165" s="710"/>
      <c r="AC165" s="710"/>
      <c r="AD165" s="710"/>
      <c r="AE165" s="710"/>
      <c r="AF165" s="710"/>
      <c r="AG165" s="710"/>
      <c r="AH165" s="710"/>
      <c r="AI165" s="710"/>
      <c r="AJ165" s="710"/>
    </row>
    <row r="166" spans="1:36">
      <c r="A166" s="712"/>
      <c r="B166" s="712"/>
      <c r="C166" s="712"/>
      <c r="D166" s="712"/>
      <c r="E166" s="712"/>
      <c r="F166" s="721"/>
      <c r="G166" s="712"/>
      <c r="H166" s="710"/>
      <c r="I166" s="710"/>
      <c r="J166" s="710"/>
      <c r="K166" s="710"/>
      <c r="L166" s="712"/>
      <c r="M166" s="712"/>
      <c r="N166" s="712"/>
      <c r="O166" s="712"/>
      <c r="P166" s="712"/>
      <c r="Q166" s="721"/>
      <c r="R166" s="710"/>
      <c r="S166" s="710"/>
      <c r="T166" s="710"/>
      <c r="U166" s="710"/>
      <c r="V166" s="710"/>
      <c r="W166" s="710"/>
      <c r="X166" s="710"/>
      <c r="Y166" s="710"/>
      <c r="Z166" s="710"/>
      <c r="AA166" s="710"/>
      <c r="AB166" s="710"/>
      <c r="AC166" s="710"/>
      <c r="AD166" s="710"/>
      <c r="AE166" s="710"/>
      <c r="AF166" s="710"/>
      <c r="AG166" s="710"/>
      <c r="AH166" s="710"/>
      <c r="AI166" s="710"/>
      <c r="AJ166" s="710"/>
    </row>
    <row r="167" spans="1:36">
      <c r="A167" s="712"/>
      <c r="B167" s="712"/>
      <c r="C167" s="712"/>
      <c r="D167" s="712"/>
      <c r="E167" s="712"/>
      <c r="F167" s="721"/>
      <c r="G167" s="712"/>
      <c r="H167" s="710"/>
      <c r="I167" s="710"/>
      <c r="J167" s="710"/>
      <c r="K167" s="710"/>
      <c r="L167" s="712"/>
      <c r="M167" s="712"/>
      <c r="N167" s="712"/>
      <c r="O167" s="712"/>
      <c r="P167" s="712"/>
      <c r="Q167" s="721"/>
      <c r="R167" s="710"/>
      <c r="S167" s="710"/>
      <c r="T167" s="710"/>
      <c r="U167" s="710"/>
      <c r="V167" s="710"/>
      <c r="W167" s="710"/>
      <c r="X167" s="710"/>
      <c r="Y167" s="710"/>
      <c r="Z167" s="710"/>
      <c r="AA167" s="710"/>
      <c r="AB167" s="710"/>
      <c r="AC167" s="710"/>
      <c r="AD167" s="710"/>
      <c r="AE167" s="710"/>
      <c r="AF167" s="710"/>
      <c r="AG167" s="710"/>
      <c r="AH167" s="710"/>
      <c r="AI167" s="710"/>
      <c r="AJ167" s="710"/>
    </row>
    <row r="168" spans="1:36">
      <c r="A168" s="712"/>
      <c r="B168" s="712"/>
      <c r="C168" s="712"/>
      <c r="D168" s="712"/>
      <c r="E168" s="712"/>
      <c r="F168" s="721"/>
      <c r="G168" s="712"/>
      <c r="H168" s="710"/>
      <c r="I168" s="710"/>
      <c r="J168" s="710"/>
      <c r="K168" s="710"/>
      <c r="L168" s="712"/>
      <c r="M168" s="712"/>
      <c r="N168" s="712"/>
      <c r="O168" s="712"/>
      <c r="P168" s="712"/>
      <c r="Q168" s="721"/>
      <c r="R168" s="710"/>
      <c r="S168" s="710"/>
      <c r="T168" s="710"/>
      <c r="U168" s="710"/>
      <c r="V168" s="710"/>
      <c r="W168" s="710"/>
      <c r="X168" s="710"/>
      <c r="Y168" s="710"/>
      <c r="Z168" s="710"/>
      <c r="AA168" s="710"/>
      <c r="AB168" s="710"/>
      <c r="AC168" s="710"/>
      <c r="AD168" s="710"/>
      <c r="AE168" s="710"/>
      <c r="AF168" s="710"/>
      <c r="AG168" s="710"/>
      <c r="AH168" s="710"/>
      <c r="AI168" s="710"/>
      <c r="AJ168" s="710"/>
    </row>
    <row r="169" spans="1:36">
      <c r="A169" s="710"/>
      <c r="B169" s="712"/>
      <c r="C169" s="712"/>
      <c r="D169" s="712"/>
      <c r="E169" s="727"/>
      <c r="F169" s="721"/>
      <c r="G169" s="712"/>
      <c r="H169" s="710"/>
      <c r="I169" s="710"/>
      <c r="J169" s="710"/>
      <c r="K169" s="710"/>
      <c r="L169" s="712"/>
      <c r="M169" s="712"/>
      <c r="N169" s="712"/>
      <c r="O169" s="712"/>
      <c r="P169" s="712"/>
      <c r="Q169" s="721"/>
      <c r="R169" s="710"/>
      <c r="S169" s="710"/>
      <c r="T169" s="710"/>
      <c r="U169" s="710"/>
      <c r="V169" s="710"/>
      <c r="W169" s="710"/>
      <c r="X169" s="710"/>
      <c r="Y169" s="710"/>
      <c r="Z169" s="710"/>
      <c r="AA169" s="710"/>
      <c r="AB169" s="710"/>
      <c r="AC169" s="710"/>
      <c r="AD169" s="710"/>
      <c r="AE169" s="710"/>
      <c r="AF169" s="710"/>
      <c r="AG169" s="710"/>
      <c r="AH169" s="710"/>
      <c r="AI169" s="710"/>
      <c r="AJ169" s="710"/>
    </row>
    <row r="170" spans="1:36">
      <c r="A170" s="710"/>
      <c r="B170" s="712"/>
      <c r="C170" s="712"/>
      <c r="D170" s="712"/>
      <c r="E170" s="727"/>
      <c r="F170" s="721"/>
      <c r="G170" s="712"/>
      <c r="H170" s="710"/>
      <c r="I170" s="710"/>
      <c r="J170" s="710"/>
      <c r="K170" s="710"/>
      <c r="L170" s="712"/>
      <c r="M170" s="712"/>
      <c r="N170" s="712"/>
      <c r="O170" s="712"/>
      <c r="P170" s="712"/>
      <c r="Q170" s="721"/>
      <c r="R170" s="710"/>
      <c r="S170" s="710"/>
      <c r="T170" s="710"/>
      <c r="U170" s="710"/>
      <c r="V170" s="710"/>
      <c r="W170" s="710"/>
      <c r="X170" s="710"/>
      <c r="Y170" s="710"/>
      <c r="Z170" s="710"/>
      <c r="AA170" s="710"/>
      <c r="AB170" s="710"/>
      <c r="AC170" s="710"/>
      <c r="AD170" s="710"/>
      <c r="AE170" s="710"/>
      <c r="AF170" s="710"/>
      <c r="AG170" s="710"/>
      <c r="AH170" s="710"/>
      <c r="AI170" s="710"/>
      <c r="AJ170" s="710"/>
    </row>
    <row r="171" spans="1:36">
      <c r="A171" s="710"/>
      <c r="B171" s="712"/>
      <c r="C171" s="712"/>
      <c r="D171" s="712"/>
      <c r="E171" s="727"/>
      <c r="F171" s="721"/>
      <c r="G171" s="712"/>
      <c r="H171" s="710"/>
      <c r="I171" s="710"/>
      <c r="J171" s="710"/>
      <c r="K171" s="710"/>
      <c r="L171" s="712"/>
      <c r="M171" s="712"/>
      <c r="N171" s="712"/>
      <c r="O171" s="712"/>
      <c r="P171" s="712"/>
      <c r="Q171" s="721"/>
      <c r="R171" s="710"/>
      <c r="S171" s="710"/>
      <c r="T171" s="710"/>
      <c r="U171" s="710"/>
      <c r="V171" s="710"/>
      <c r="W171" s="710"/>
      <c r="X171" s="710"/>
      <c r="Y171" s="710"/>
      <c r="Z171" s="710"/>
      <c r="AA171" s="710"/>
      <c r="AB171" s="710"/>
      <c r="AC171" s="710"/>
      <c r="AD171" s="710"/>
      <c r="AE171" s="710"/>
      <c r="AF171" s="710"/>
      <c r="AG171" s="710"/>
      <c r="AH171" s="710"/>
      <c r="AI171" s="710"/>
      <c r="AJ171" s="710"/>
    </row>
    <row r="172" spans="1:36">
      <c r="A172" s="710"/>
      <c r="B172" s="712"/>
      <c r="C172" s="712"/>
      <c r="D172" s="712"/>
      <c r="E172" s="727"/>
      <c r="F172" s="721"/>
      <c r="G172" s="712"/>
      <c r="H172" s="710"/>
      <c r="I172" s="710"/>
      <c r="J172" s="710"/>
      <c r="K172" s="710"/>
      <c r="L172" s="712"/>
      <c r="M172" s="712"/>
      <c r="N172" s="712"/>
      <c r="O172" s="712"/>
      <c r="P172" s="712"/>
      <c r="Q172" s="721"/>
      <c r="R172" s="710"/>
      <c r="S172" s="710"/>
      <c r="T172" s="710"/>
      <c r="U172" s="710"/>
      <c r="V172" s="710"/>
      <c r="W172" s="710"/>
      <c r="X172" s="710"/>
      <c r="Y172" s="710"/>
      <c r="Z172" s="710"/>
      <c r="AA172" s="710"/>
      <c r="AB172" s="710"/>
      <c r="AC172" s="710"/>
      <c r="AD172" s="710"/>
      <c r="AE172" s="710"/>
      <c r="AF172" s="710"/>
      <c r="AG172" s="710"/>
      <c r="AH172" s="710"/>
      <c r="AI172" s="710"/>
      <c r="AJ172" s="710"/>
    </row>
    <row r="173" spans="1:36">
      <c r="A173" s="710"/>
      <c r="B173" s="712"/>
      <c r="C173" s="712"/>
      <c r="D173" s="712"/>
      <c r="E173" s="727"/>
      <c r="F173" s="721"/>
      <c r="G173" s="712"/>
      <c r="H173" s="710"/>
      <c r="I173" s="710"/>
      <c r="J173" s="710"/>
      <c r="K173" s="710"/>
      <c r="L173" s="712"/>
      <c r="M173" s="712"/>
      <c r="N173" s="712"/>
      <c r="O173" s="712"/>
      <c r="P173" s="712"/>
      <c r="Q173" s="721"/>
      <c r="R173" s="710"/>
      <c r="S173" s="710"/>
      <c r="T173" s="710"/>
      <c r="U173" s="710"/>
      <c r="V173" s="710"/>
      <c r="W173" s="710"/>
      <c r="X173" s="710"/>
      <c r="Y173" s="710"/>
      <c r="Z173" s="710"/>
      <c r="AA173" s="710"/>
      <c r="AB173" s="710"/>
      <c r="AC173" s="710"/>
      <c r="AD173" s="710"/>
      <c r="AE173" s="710"/>
      <c r="AF173" s="710"/>
      <c r="AG173" s="710"/>
      <c r="AH173" s="710"/>
      <c r="AI173" s="710"/>
      <c r="AJ173" s="710"/>
    </row>
    <row r="174" spans="1:36">
      <c r="A174" s="710"/>
      <c r="B174" s="712"/>
      <c r="C174" s="712"/>
      <c r="D174" s="712"/>
      <c r="E174" s="727"/>
      <c r="F174" s="721"/>
      <c r="G174" s="712"/>
      <c r="H174" s="710"/>
      <c r="I174" s="710"/>
      <c r="J174" s="710"/>
      <c r="K174" s="710"/>
      <c r="L174" s="712"/>
      <c r="M174" s="712"/>
      <c r="N174" s="712"/>
      <c r="O174" s="712"/>
      <c r="P174" s="712"/>
      <c r="Q174" s="721"/>
      <c r="R174" s="710"/>
      <c r="S174" s="710"/>
      <c r="T174" s="710"/>
      <c r="U174" s="710"/>
      <c r="V174" s="710"/>
      <c r="W174" s="710"/>
      <c r="X174" s="710"/>
      <c r="Y174" s="710"/>
      <c r="Z174" s="710"/>
      <c r="AA174" s="710"/>
      <c r="AB174" s="710"/>
      <c r="AC174" s="710"/>
      <c r="AD174" s="710"/>
      <c r="AE174" s="710"/>
      <c r="AF174" s="710"/>
      <c r="AG174" s="710"/>
      <c r="AH174" s="710"/>
      <c r="AI174" s="710"/>
      <c r="AJ174" s="710"/>
    </row>
    <row r="175" spans="1:36">
      <c r="A175" s="710"/>
      <c r="B175" s="712"/>
      <c r="C175" s="712"/>
      <c r="D175" s="712"/>
      <c r="E175" s="727"/>
      <c r="F175" s="721"/>
      <c r="G175" s="712"/>
      <c r="H175" s="710"/>
      <c r="I175" s="710"/>
      <c r="J175" s="710"/>
      <c r="K175" s="710"/>
      <c r="L175" s="712"/>
      <c r="M175" s="712"/>
      <c r="N175" s="712"/>
      <c r="O175" s="712"/>
      <c r="P175" s="712"/>
      <c r="Q175" s="721"/>
      <c r="R175" s="710"/>
      <c r="S175" s="710"/>
      <c r="T175" s="710"/>
      <c r="U175" s="710"/>
      <c r="V175" s="710"/>
      <c r="W175" s="710"/>
      <c r="X175" s="710"/>
      <c r="Y175" s="710"/>
      <c r="Z175" s="710"/>
      <c r="AA175" s="710"/>
      <c r="AB175" s="710"/>
      <c r="AC175" s="710"/>
      <c r="AD175" s="710"/>
      <c r="AE175" s="710"/>
      <c r="AF175" s="710"/>
      <c r="AG175" s="710"/>
      <c r="AH175" s="710"/>
      <c r="AI175" s="710"/>
      <c r="AJ175" s="710"/>
    </row>
    <row r="176" spans="1:36">
      <c r="A176" s="710"/>
      <c r="B176" s="712"/>
      <c r="C176" s="712"/>
      <c r="D176" s="712"/>
      <c r="E176" s="727"/>
      <c r="F176" s="721"/>
      <c r="G176" s="712"/>
      <c r="H176" s="710"/>
      <c r="I176" s="710"/>
      <c r="J176" s="710"/>
      <c r="K176" s="710"/>
      <c r="L176" s="712"/>
      <c r="M176" s="712"/>
      <c r="T176" s="710"/>
      <c r="U176" s="710"/>
      <c r="V176" s="710"/>
      <c r="W176" s="710"/>
      <c r="X176" s="710"/>
      <c r="Y176" s="710"/>
      <c r="Z176" s="710"/>
      <c r="AA176" s="710"/>
      <c r="AB176" s="710"/>
      <c r="AC176" s="710"/>
      <c r="AD176" s="710"/>
      <c r="AE176" s="710"/>
      <c r="AF176" s="710"/>
      <c r="AG176" s="710"/>
      <c r="AH176" s="710"/>
      <c r="AI176" s="710"/>
      <c r="AJ176" s="710"/>
    </row>
    <row r="177" spans="1:36">
      <c r="A177" s="710"/>
      <c r="B177" s="712"/>
      <c r="C177" s="712"/>
      <c r="D177" s="712"/>
      <c r="E177" s="727"/>
      <c r="F177" s="721"/>
      <c r="G177" s="712"/>
      <c r="H177" s="710"/>
      <c r="I177" s="710"/>
      <c r="J177" s="710"/>
      <c r="K177" s="710"/>
      <c r="L177" s="712"/>
      <c r="M177" s="712"/>
      <c r="T177" s="710"/>
      <c r="U177" s="710"/>
      <c r="V177" s="710"/>
      <c r="W177" s="710"/>
      <c r="X177" s="710"/>
      <c r="Y177" s="710"/>
      <c r="Z177" s="710"/>
      <c r="AA177" s="710"/>
      <c r="AB177" s="710"/>
      <c r="AC177" s="710"/>
      <c r="AD177" s="710"/>
      <c r="AE177" s="710"/>
      <c r="AF177" s="710"/>
      <c r="AG177" s="710"/>
      <c r="AH177" s="710"/>
      <c r="AI177" s="710"/>
      <c r="AJ177" s="710"/>
    </row>
    <row r="178" spans="1:36">
      <c r="A178" s="710"/>
      <c r="B178" s="712"/>
      <c r="C178" s="712"/>
      <c r="D178" s="712"/>
      <c r="E178" s="727"/>
      <c r="F178" s="721"/>
      <c r="G178" s="712"/>
      <c r="H178" s="710"/>
      <c r="I178" s="710"/>
      <c r="J178" s="710"/>
      <c r="K178" s="710"/>
      <c r="L178" s="712"/>
      <c r="M178" s="712"/>
      <c r="T178" s="710"/>
      <c r="U178" s="710"/>
      <c r="V178" s="710"/>
      <c r="W178" s="710"/>
      <c r="X178" s="710"/>
      <c r="Y178" s="710"/>
      <c r="Z178" s="710"/>
      <c r="AA178" s="710"/>
      <c r="AB178" s="710"/>
      <c r="AC178" s="710"/>
      <c r="AD178" s="710"/>
      <c r="AE178" s="710"/>
      <c r="AF178" s="710"/>
      <c r="AG178" s="710"/>
      <c r="AH178" s="710"/>
      <c r="AI178" s="710"/>
      <c r="AJ178" s="710"/>
    </row>
    <row r="179" spans="1:36">
      <c r="A179" s="710"/>
      <c r="B179" s="712"/>
      <c r="C179" s="712"/>
      <c r="D179" s="712"/>
      <c r="E179" s="727"/>
      <c r="F179" s="721"/>
      <c r="G179" s="712"/>
      <c r="H179" s="710"/>
      <c r="I179" s="710"/>
      <c r="J179" s="710"/>
      <c r="K179" s="710"/>
      <c r="L179" s="712"/>
      <c r="M179" s="712"/>
      <c r="T179" s="710"/>
      <c r="U179" s="710"/>
      <c r="V179" s="710"/>
      <c r="W179" s="710"/>
      <c r="X179" s="710"/>
      <c r="Y179" s="710"/>
      <c r="Z179" s="710"/>
      <c r="AA179" s="710"/>
      <c r="AB179" s="710"/>
      <c r="AC179" s="710"/>
      <c r="AD179" s="710"/>
      <c r="AE179" s="710"/>
      <c r="AF179" s="710"/>
      <c r="AG179" s="710"/>
      <c r="AH179" s="710"/>
      <c r="AI179" s="710"/>
      <c r="AJ179" s="710"/>
    </row>
    <row r="180" spans="1:36">
      <c r="A180" s="710"/>
      <c r="B180" s="712"/>
      <c r="C180" s="712"/>
      <c r="D180" s="712"/>
      <c r="E180" s="727"/>
      <c r="F180" s="721"/>
      <c r="G180" s="712"/>
      <c r="H180" s="710"/>
      <c r="I180" s="710"/>
      <c r="J180" s="710"/>
      <c r="K180" s="710"/>
      <c r="L180" s="712"/>
      <c r="M180" s="712"/>
      <c r="T180" s="710"/>
      <c r="U180" s="710"/>
      <c r="V180" s="710"/>
      <c r="W180" s="710"/>
      <c r="X180" s="710"/>
      <c r="Y180" s="710"/>
      <c r="Z180" s="710"/>
      <c r="AA180" s="710"/>
      <c r="AB180" s="710"/>
      <c r="AC180" s="710"/>
      <c r="AD180" s="710"/>
      <c r="AE180" s="710"/>
      <c r="AF180" s="710"/>
      <c r="AG180" s="710"/>
      <c r="AH180" s="710"/>
      <c r="AI180" s="710"/>
      <c r="AJ180" s="710"/>
    </row>
    <row r="181" spans="1:36">
      <c r="A181" s="710"/>
      <c r="B181" s="712"/>
      <c r="C181" s="712"/>
      <c r="D181" s="712"/>
      <c r="E181" s="727"/>
      <c r="F181" s="721"/>
      <c r="G181" s="712"/>
      <c r="H181" s="710"/>
      <c r="I181" s="710"/>
      <c r="J181" s="710"/>
      <c r="K181" s="710"/>
      <c r="L181" s="712"/>
      <c r="M181" s="712"/>
      <c r="T181" s="710"/>
      <c r="U181" s="710"/>
      <c r="V181" s="710"/>
      <c r="W181" s="710"/>
      <c r="X181" s="710"/>
      <c r="Y181" s="710"/>
      <c r="Z181" s="710"/>
      <c r="AA181" s="710"/>
      <c r="AB181" s="710"/>
      <c r="AC181" s="710"/>
      <c r="AD181" s="710"/>
      <c r="AE181" s="710"/>
      <c r="AF181" s="710"/>
      <c r="AG181" s="710"/>
      <c r="AH181" s="710"/>
      <c r="AI181" s="710"/>
      <c r="AJ181" s="710"/>
    </row>
    <row r="182" spans="1:36">
      <c r="A182" s="710"/>
      <c r="B182" s="712"/>
      <c r="C182" s="712"/>
      <c r="D182" s="712"/>
      <c r="E182" s="727"/>
      <c r="F182" s="721"/>
      <c r="G182" s="712"/>
      <c r="H182" s="710"/>
      <c r="I182" s="710"/>
      <c r="J182" s="710"/>
      <c r="K182" s="710"/>
      <c r="L182" s="712"/>
      <c r="M182" s="712"/>
      <c r="T182" s="710"/>
      <c r="U182" s="710"/>
      <c r="V182" s="710"/>
      <c r="W182" s="710"/>
      <c r="X182" s="710"/>
      <c r="Y182" s="710"/>
      <c r="Z182" s="710"/>
      <c r="AA182" s="710"/>
      <c r="AB182" s="710"/>
      <c r="AC182" s="710"/>
      <c r="AD182" s="710"/>
      <c r="AE182" s="710"/>
      <c r="AF182" s="710"/>
      <c r="AG182" s="710"/>
      <c r="AH182" s="710"/>
      <c r="AI182" s="710"/>
      <c r="AJ182" s="710"/>
    </row>
    <row r="183" spans="1:36">
      <c r="A183" s="710"/>
      <c r="B183" s="712"/>
      <c r="C183" s="712"/>
      <c r="D183" s="712"/>
      <c r="E183" s="727"/>
      <c r="F183" s="721"/>
      <c r="G183" s="712"/>
      <c r="H183" s="710"/>
      <c r="I183" s="710"/>
      <c r="J183" s="710"/>
      <c r="K183" s="710"/>
      <c r="L183" s="712"/>
      <c r="M183" s="712"/>
      <c r="T183" s="710"/>
      <c r="U183" s="710"/>
      <c r="V183" s="710"/>
      <c r="W183" s="710"/>
      <c r="X183" s="710"/>
      <c r="Y183" s="710"/>
      <c r="Z183" s="710"/>
      <c r="AA183" s="710"/>
      <c r="AB183" s="710"/>
      <c r="AC183" s="710"/>
      <c r="AD183" s="710"/>
      <c r="AE183" s="710"/>
      <c r="AF183" s="710"/>
      <c r="AG183" s="710"/>
      <c r="AH183" s="710"/>
      <c r="AI183" s="710"/>
      <c r="AJ183" s="710"/>
    </row>
    <row r="184" spans="1:36">
      <c r="A184" s="710"/>
      <c r="B184" s="712"/>
      <c r="C184" s="712"/>
      <c r="D184" s="712"/>
      <c r="E184" s="727"/>
      <c r="F184" s="721"/>
      <c r="G184" s="712"/>
      <c r="H184" s="710"/>
      <c r="I184" s="710"/>
      <c r="J184" s="710"/>
      <c r="K184" s="710"/>
      <c r="L184" s="712"/>
      <c r="M184" s="712"/>
      <c r="T184" s="710"/>
      <c r="U184" s="710"/>
      <c r="V184" s="710"/>
      <c r="W184" s="710"/>
      <c r="X184" s="710"/>
      <c r="Y184" s="710"/>
      <c r="Z184" s="710"/>
      <c r="AA184" s="710"/>
      <c r="AB184" s="710"/>
      <c r="AC184" s="710"/>
      <c r="AD184" s="710"/>
      <c r="AE184" s="710"/>
      <c r="AF184" s="710"/>
      <c r="AG184" s="710"/>
      <c r="AH184" s="710"/>
      <c r="AI184" s="710"/>
      <c r="AJ184" s="710"/>
    </row>
    <row r="185" spans="1:36">
      <c r="A185" s="710"/>
      <c r="B185" s="712"/>
      <c r="C185" s="712"/>
      <c r="D185" s="712"/>
      <c r="E185" s="727"/>
      <c r="F185" s="721"/>
      <c r="G185" s="712"/>
      <c r="H185" s="710"/>
      <c r="I185" s="710"/>
      <c r="J185" s="710"/>
      <c r="K185" s="710"/>
      <c r="L185" s="712"/>
      <c r="M185" s="712"/>
      <c r="T185" s="710"/>
      <c r="U185" s="710"/>
      <c r="V185" s="710"/>
      <c r="W185" s="710"/>
      <c r="X185" s="710"/>
      <c r="Y185" s="710"/>
      <c r="Z185" s="710"/>
      <c r="AA185" s="710"/>
      <c r="AB185" s="710"/>
      <c r="AC185" s="710"/>
      <c r="AD185" s="710"/>
      <c r="AE185" s="710"/>
      <c r="AF185" s="710"/>
      <c r="AG185" s="710"/>
      <c r="AH185" s="710"/>
      <c r="AI185" s="710"/>
      <c r="AJ185" s="710"/>
    </row>
    <row r="186" spans="1:36">
      <c r="A186" s="710"/>
      <c r="B186" s="712"/>
      <c r="C186" s="712"/>
      <c r="D186" s="712"/>
      <c r="E186" s="727"/>
      <c r="F186" s="721"/>
      <c r="G186" s="712"/>
      <c r="H186" s="710"/>
      <c r="I186" s="710"/>
      <c r="J186" s="710"/>
      <c r="K186" s="710"/>
      <c r="L186" s="712"/>
      <c r="M186" s="712"/>
      <c r="T186" s="710"/>
      <c r="U186" s="710"/>
      <c r="V186" s="710"/>
      <c r="W186" s="710"/>
      <c r="X186" s="710"/>
      <c r="Y186" s="710"/>
      <c r="Z186" s="710"/>
      <c r="AA186" s="710"/>
      <c r="AB186" s="710"/>
      <c r="AC186" s="710"/>
      <c r="AD186" s="710"/>
      <c r="AE186" s="710"/>
      <c r="AF186" s="710"/>
      <c r="AG186" s="710"/>
      <c r="AH186" s="710"/>
      <c r="AI186" s="710"/>
      <c r="AJ186" s="710"/>
    </row>
    <row r="187" spans="1:36">
      <c r="A187" s="710"/>
      <c r="B187" s="712"/>
      <c r="C187" s="712"/>
      <c r="D187" s="712"/>
      <c r="E187" s="727"/>
      <c r="F187" s="721"/>
      <c r="G187" s="712"/>
      <c r="H187" s="710"/>
      <c r="I187" s="710"/>
      <c r="J187" s="710"/>
      <c r="K187" s="710"/>
      <c r="L187" s="712"/>
      <c r="M187" s="712"/>
      <c r="T187" s="710"/>
      <c r="U187" s="710"/>
      <c r="V187" s="710"/>
      <c r="W187" s="710"/>
      <c r="X187" s="710"/>
      <c r="Y187" s="710"/>
      <c r="Z187" s="710"/>
      <c r="AA187" s="710"/>
      <c r="AB187" s="710"/>
      <c r="AC187" s="710"/>
      <c r="AD187" s="710"/>
      <c r="AE187" s="710"/>
      <c r="AF187" s="710"/>
      <c r="AG187" s="710"/>
      <c r="AH187" s="710"/>
      <c r="AI187" s="710"/>
      <c r="AJ187" s="710"/>
    </row>
    <row r="188" spans="1:36">
      <c r="A188" s="710"/>
      <c r="B188" s="712"/>
      <c r="C188" s="712"/>
      <c r="D188" s="712"/>
      <c r="E188" s="727"/>
      <c r="F188" s="721"/>
      <c r="G188" s="712"/>
      <c r="H188" s="710"/>
      <c r="I188" s="710"/>
      <c r="J188" s="710"/>
      <c r="K188" s="710"/>
      <c r="L188" s="712"/>
      <c r="M188" s="712"/>
      <c r="T188" s="710"/>
      <c r="U188" s="710"/>
      <c r="V188" s="710"/>
      <c r="W188" s="710"/>
      <c r="X188" s="710"/>
      <c r="Y188" s="710"/>
      <c r="Z188" s="710"/>
      <c r="AA188" s="710"/>
      <c r="AB188" s="710"/>
      <c r="AC188" s="710"/>
      <c r="AD188" s="710"/>
      <c r="AE188" s="710"/>
      <c r="AF188" s="710"/>
      <c r="AG188" s="710"/>
      <c r="AH188" s="710"/>
      <c r="AI188" s="710"/>
      <c r="AJ188" s="710"/>
    </row>
    <row r="189" spans="1:36">
      <c r="E189" s="26"/>
      <c r="G189" s="712"/>
      <c r="H189" s="710"/>
      <c r="I189" s="710"/>
      <c r="J189" s="710"/>
      <c r="K189" s="710"/>
      <c r="L189" s="712"/>
      <c r="M189" s="712"/>
      <c r="T189" s="710"/>
      <c r="U189" s="710"/>
      <c r="V189" s="710"/>
      <c r="W189" s="710"/>
      <c r="X189" s="710"/>
      <c r="Y189" s="710"/>
      <c r="Z189" s="710"/>
      <c r="AA189" s="710"/>
      <c r="AB189" s="710"/>
      <c r="AC189" s="710"/>
      <c r="AD189" s="710"/>
      <c r="AE189" s="710"/>
      <c r="AF189" s="710"/>
      <c r="AG189" s="710"/>
      <c r="AH189" s="710"/>
      <c r="AI189" s="710"/>
      <c r="AJ189" s="710"/>
    </row>
    <row r="190" spans="1:36">
      <c r="E190" s="26"/>
      <c r="G190" s="712"/>
      <c r="H190" s="710"/>
      <c r="I190" s="710"/>
      <c r="J190" s="710"/>
      <c r="K190" s="710"/>
      <c r="L190" s="712"/>
      <c r="M190" s="712"/>
      <c r="T190" s="710"/>
      <c r="U190" s="710"/>
      <c r="V190" s="710"/>
      <c r="W190" s="710"/>
      <c r="X190" s="710"/>
      <c r="Y190" s="710"/>
      <c r="Z190" s="710"/>
      <c r="AA190" s="710"/>
      <c r="AB190" s="710"/>
      <c r="AC190" s="710"/>
      <c r="AD190" s="710"/>
      <c r="AE190" s="710"/>
      <c r="AF190" s="710"/>
      <c r="AG190" s="710"/>
      <c r="AH190" s="710"/>
      <c r="AI190" s="710"/>
      <c r="AJ190" s="710"/>
    </row>
    <row r="191" spans="1:36">
      <c r="E191" s="26"/>
      <c r="G191" s="712"/>
      <c r="H191" s="710"/>
      <c r="I191" s="710"/>
      <c r="J191" s="710"/>
      <c r="K191" s="710"/>
      <c r="L191" s="712"/>
      <c r="M191" s="712"/>
      <c r="T191" s="710"/>
      <c r="U191" s="710"/>
      <c r="V191" s="710"/>
      <c r="W191" s="710"/>
      <c r="X191" s="710"/>
      <c r="Y191" s="710"/>
      <c r="Z191" s="710"/>
      <c r="AA191" s="710"/>
      <c r="AB191" s="710"/>
      <c r="AC191" s="710"/>
      <c r="AD191" s="710"/>
      <c r="AE191" s="710"/>
      <c r="AF191" s="710"/>
      <c r="AG191" s="710"/>
      <c r="AH191" s="710"/>
      <c r="AI191" s="710"/>
      <c r="AJ191" s="710"/>
    </row>
    <row r="192" spans="1:36">
      <c r="E192" s="26"/>
      <c r="G192" s="712"/>
      <c r="H192" s="710"/>
      <c r="I192" s="710"/>
      <c r="J192" s="710"/>
      <c r="K192" s="710"/>
      <c r="L192" s="712"/>
      <c r="M192" s="712"/>
      <c r="T192" s="710"/>
      <c r="U192" s="710"/>
      <c r="V192" s="710"/>
      <c r="W192" s="710"/>
      <c r="X192" s="710"/>
      <c r="Y192" s="710"/>
      <c r="Z192" s="710"/>
      <c r="AA192" s="710"/>
      <c r="AB192" s="710"/>
      <c r="AC192" s="710"/>
      <c r="AD192" s="710"/>
      <c r="AE192" s="710"/>
      <c r="AF192" s="710"/>
      <c r="AG192" s="710"/>
      <c r="AH192" s="710"/>
      <c r="AI192" s="710"/>
      <c r="AJ192" s="710"/>
    </row>
    <row r="193" spans="5:36">
      <c r="E193" s="26"/>
      <c r="G193" s="712"/>
      <c r="H193" s="710"/>
      <c r="I193" s="710"/>
      <c r="J193" s="710"/>
      <c r="K193" s="710"/>
      <c r="L193" s="712"/>
      <c r="M193" s="712"/>
      <c r="T193" s="710"/>
      <c r="U193" s="710"/>
      <c r="V193" s="710"/>
      <c r="W193" s="710"/>
      <c r="X193" s="710"/>
      <c r="Y193" s="710"/>
      <c r="Z193" s="710"/>
      <c r="AA193" s="710"/>
      <c r="AB193" s="710"/>
      <c r="AC193" s="710"/>
      <c r="AD193" s="710"/>
      <c r="AE193" s="710"/>
      <c r="AF193" s="710"/>
      <c r="AG193" s="710"/>
      <c r="AH193" s="710"/>
      <c r="AI193" s="710"/>
      <c r="AJ193" s="710"/>
    </row>
    <row r="194" spans="5:36">
      <c r="E194" s="26"/>
      <c r="G194" s="712"/>
      <c r="H194" s="710"/>
      <c r="I194" s="710"/>
      <c r="J194" s="710"/>
      <c r="K194" s="710"/>
      <c r="L194" s="712"/>
      <c r="M194" s="712"/>
      <c r="T194" s="710"/>
      <c r="U194" s="710"/>
      <c r="V194" s="710"/>
      <c r="W194" s="710"/>
      <c r="X194" s="710"/>
      <c r="Y194" s="710"/>
      <c r="Z194" s="710"/>
      <c r="AA194" s="710"/>
      <c r="AB194" s="710"/>
      <c r="AC194" s="710"/>
      <c r="AD194" s="710"/>
      <c r="AE194" s="710"/>
      <c r="AF194" s="710"/>
      <c r="AG194" s="710"/>
      <c r="AH194" s="710"/>
      <c r="AI194" s="710"/>
      <c r="AJ194" s="710"/>
    </row>
    <row r="195" spans="5:36">
      <c r="E195" s="26"/>
      <c r="G195" s="712"/>
      <c r="H195" s="710"/>
      <c r="I195" s="710"/>
      <c r="J195" s="710"/>
      <c r="K195" s="710"/>
      <c r="L195" s="712"/>
      <c r="M195" s="712"/>
      <c r="T195" s="710"/>
      <c r="U195" s="710"/>
      <c r="V195" s="710"/>
      <c r="W195" s="710"/>
      <c r="X195" s="710"/>
      <c r="Y195" s="710"/>
      <c r="Z195" s="710"/>
      <c r="AA195" s="710"/>
      <c r="AB195" s="710"/>
      <c r="AC195" s="710"/>
      <c r="AD195" s="710"/>
      <c r="AE195" s="710"/>
      <c r="AF195" s="710"/>
      <c r="AG195" s="710"/>
      <c r="AH195" s="710"/>
      <c r="AI195" s="710"/>
      <c r="AJ195" s="710"/>
    </row>
    <row r="196" spans="5:36">
      <c r="E196" s="26"/>
      <c r="G196" s="710"/>
      <c r="H196" s="710"/>
      <c r="I196" s="710"/>
      <c r="J196" s="710"/>
      <c r="K196" s="710"/>
      <c r="L196" s="712"/>
      <c r="M196" s="712"/>
      <c r="T196" s="710"/>
      <c r="U196" s="710"/>
      <c r="V196" s="710"/>
      <c r="W196" s="710"/>
      <c r="X196" s="710"/>
      <c r="Y196" s="710"/>
      <c r="Z196" s="710"/>
      <c r="AA196" s="710"/>
      <c r="AB196" s="710"/>
      <c r="AC196" s="710"/>
      <c r="AD196" s="710"/>
      <c r="AE196" s="710"/>
      <c r="AF196" s="710"/>
      <c r="AG196" s="710"/>
      <c r="AH196" s="710"/>
      <c r="AI196" s="710"/>
      <c r="AJ196" s="710"/>
    </row>
    <row r="197" spans="5:36">
      <c r="E197" s="26"/>
      <c r="G197" s="710"/>
      <c r="H197" s="710"/>
      <c r="I197" s="710"/>
      <c r="J197" s="710"/>
      <c r="K197" s="710"/>
      <c r="L197" s="712"/>
      <c r="M197" s="712"/>
      <c r="T197" s="710"/>
      <c r="U197" s="710"/>
      <c r="V197" s="710"/>
      <c r="W197" s="710"/>
      <c r="X197" s="710"/>
      <c r="Y197" s="710"/>
      <c r="Z197" s="710"/>
      <c r="AA197" s="710"/>
      <c r="AB197" s="710"/>
      <c r="AC197" s="710"/>
      <c r="AD197" s="710"/>
      <c r="AE197" s="710"/>
      <c r="AF197" s="710"/>
      <c r="AG197" s="710"/>
      <c r="AH197" s="710"/>
      <c r="AI197" s="710"/>
      <c r="AJ197" s="710"/>
    </row>
    <row r="198" spans="5:36">
      <c r="E198" s="26"/>
      <c r="G198" s="710"/>
      <c r="H198" s="710"/>
      <c r="I198" s="710"/>
      <c r="J198" s="710"/>
      <c r="K198" s="710"/>
      <c r="L198" s="712"/>
      <c r="M198" s="712"/>
      <c r="T198" s="710"/>
      <c r="U198" s="710"/>
      <c r="V198" s="710"/>
      <c r="W198" s="710"/>
      <c r="X198" s="710"/>
      <c r="Y198" s="710"/>
      <c r="Z198" s="710"/>
      <c r="AA198" s="710"/>
      <c r="AB198" s="710"/>
      <c r="AC198" s="710"/>
      <c r="AD198" s="710"/>
      <c r="AE198" s="710"/>
      <c r="AF198" s="710"/>
      <c r="AG198" s="710"/>
      <c r="AH198" s="710"/>
      <c r="AI198" s="710"/>
      <c r="AJ198" s="710"/>
    </row>
    <row r="199" spans="5:36">
      <c r="E199" s="26"/>
      <c r="G199" s="710"/>
      <c r="H199" s="710"/>
      <c r="I199" s="710"/>
      <c r="J199" s="710"/>
      <c r="K199" s="710"/>
      <c r="L199" s="712"/>
      <c r="M199" s="712"/>
      <c r="T199" s="710"/>
      <c r="U199" s="710"/>
      <c r="V199" s="710"/>
      <c r="W199" s="710"/>
      <c r="X199" s="710"/>
      <c r="Y199" s="710"/>
      <c r="Z199" s="710"/>
      <c r="AA199" s="710"/>
      <c r="AB199" s="710"/>
      <c r="AC199" s="710"/>
      <c r="AD199" s="710"/>
      <c r="AE199" s="710"/>
      <c r="AF199" s="710"/>
      <c r="AG199" s="710"/>
      <c r="AH199" s="710"/>
      <c r="AI199" s="710"/>
      <c r="AJ199" s="710"/>
    </row>
    <row r="200" spans="5:36">
      <c r="E200" s="26"/>
      <c r="G200" s="710"/>
      <c r="H200" s="710"/>
      <c r="I200" s="710"/>
      <c r="J200" s="710"/>
      <c r="K200" s="710"/>
      <c r="L200" s="712"/>
      <c r="M200" s="712"/>
      <c r="T200" s="710"/>
      <c r="U200" s="710"/>
      <c r="V200" s="710"/>
      <c r="W200" s="710"/>
      <c r="X200" s="710"/>
      <c r="Y200" s="710"/>
      <c r="Z200" s="710"/>
      <c r="AA200" s="710"/>
      <c r="AB200" s="710"/>
      <c r="AC200" s="710"/>
      <c r="AD200" s="710"/>
      <c r="AE200" s="710"/>
      <c r="AF200" s="710"/>
      <c r="AG200" s="710"/>
      <c r="AH200" s="710"/>
      <c r="AI200" s="710"/>
      <c r="AJ200" s="710"/>
    </row>
    <row r="201" spans="5:36">
      <c r="E201" s="26"/>
      <c r="G201" s="710"/>
      <c r="H201" s="710"/>
      <c r="I201" s="710"/>
      <c r="J201" s="710"/>
      <c r="K201" s="710"/>
      <c r="L201" s="712"/>
      <c r="M201" s="712"/>
      <c r="T201" s="710"/>
      <c r="U201" s="710"/>
      <c r="V201" s="710"/>
      <c r="W201" s="710"/>
      <c r="X201" s="710"/>
      <c r="Y201" s="710"/>
      <c r="Z201" s="710"/>
      <c r="AA201" s="710"/>
      <c r="AB201" s="710"/>
      <c r="AC201" s="710"/>
      <c r="AD201" s="710"/>
      <c r="AE201" s="710"/>
      <c r="AF201" s="710"/>
      <c r="AG201" s="710"/>
      <c r="AH201" s="710"/>
      <c r="AI201" s="710"/>
      <c r="AJ201" s="710"/>
    </row>
    <row r="202" spans="5:36">
      <c r="E202" s="26"/>
      <c r="K202"/>
      <c r="T202" s="710"/>
      <c r="U202" s="710"/>
      <c r="V202" s="710"/>
      <c r="W202" s="710"/>
      <c r="X202" s="710"/>
      <c r="Y202" s="710"/>
      <c r="Z202" s="710"/>
      <c r="AA202" s="710"/>
      <c r="AB202" s="710"/>
      <c r="AC202" s="710"/>
      <c r="AD202" s="710"/>
      <c r="AE202" s="710"/>
      <c r="AF202" s="710"/>
      <c r="AG202" s="710"/>
      <c r="AH202" s="710"/>
      <c r="AI202" s="710"/>
      <c r="AJ202" s="710"/>
    </row>
    <row r="203" spans="5:36">
      <c r="E203" s="26"/>
      <c r="K203"/>
      <c r="T203" s="710"/>
      <c r="AA203" s="710"/>
      <c r="AB203" s="710"/>
      <c r="AC203" s="710"/>
      <c r="AD203" s="710"/>
      <c r="AE203" s="710"/>
      <c r="AF203" s="710"/>
      <c r="AG203" s="710"/>
      <c r="AH203" s="710"/>
      <c r="AI203" s="710"/>
      <c r="AJ203" s="710"/>
    </row>
    <row r="204" spans="5:36">
      <c r="E204" s="26"/>
      <c r="T204" s="710"/>
      <c r="AA204" s="710"/>
      <c r="AB204" s="710"/>
      <c r="AC204" s="710"/>
      <c r="AD204" s="710"/>
      <c r="AE204" s="710"/>
      <c r="AF204" s="710"/>
      <c r="AG204" s="710"/>
      <c r="AH204" s="710"/>
      <c r="AI204" s="710"/>
      <c r="AJ204" s="710"/>
    </row>
    <row r="205" spans="5:36">
      <c r="E205" s="26"/>
      <c r="T205" s="710"/>
      <c r="AA205" s="710"/>
      <c r="AH205" s="710"/>
      <c r="AI205" s="710"/>
      <c r="AJ205" s="710"/>
    </row>
    <row r="206" spans="5:36">
      <c r="E206" s="26"/>
      <c r="T206" s="710"/>
      <c r="AA206" s="710"/>
      <c r="AH206" s="710"/>
      <c r="AI206" s="710"/>
      <c r="AJ206" s="710"/>
    </row>
    <row r="207" spans="5:36">
      <c r="E207" s="26"/>
      <c r="T207" s="710"/>
      <c r="AA207" s="710"/>
      <c r="AH207" s="710"/>
      <c r="AI207" s="710"/>
      <c r="AJ207" s="710"/>
    </row>
    <row r="208" spans="5:36">
      <c r="E208" s="26"/>
      <c r="T208" s="710"/>
      <c r="AA208" s="710"/>
      <c r="AH208" s="710"/>
      <c r="AI208" s="710"/>
      <c r="AJ208" s="710"/>
    </row>
    <row r="209" spans="5:36">
      <c r="E209" s="26"/>
      <c r="T209" s="710"/>
      <c r="AA209" s="710"/>
      <c r="AH209" s="710"/>
      <c r="AI209" s="710"/>
      <c r="AJ209" s="710"/>
    </row>
    <row r="210" spans="5:36">
      <c r="E210" s="26"/>
      <c r="T210" s="710"/>
      <c r="AA210" s="710"/>
      <c r="AH210" s="710"/>
      <c r="AI210" s="710"/>
      <c r="AJ210" s="710"/>
    </row>
    <row r="211" spans="5:36">
      <c r="E211" s="26"/>
      <c r="T211" s="710"/>
      <c r="AA211" s="710"/>
      <c r="AH211" s="710"/>
      <c r="AI211" s="710"/>
      <c r="AJ211" s="710"/>
    </row>
    <row r="212" spans="5:36">
      <c r="E212" s="26"/>
      <c r="T212" s="710"/>
      <c r="AA212" s="710"/>
      <c r="AH212" s="710"/>
      <c r="AI212" s="710"/>
      <c r="AJ212" s="710"/>
    </row>
    <row r="213" spans="5:36">
      <c r="E213" s="26"/>
      <c r="T213" s="710"/>
      <c r="AA213" s="710"/>
      <c r="AH213" s="710"/>
      <c r="AI213" s="710"/>
      <c r="AJ213" s="710"/>
    </row>
    <row r="214" spans="5:36">
      <c r="E214" s="26"/>
      <c r="T214" s="710"/>
      <c r="AA214" s="710"/>
      <c r="AH214" s="710"/>
      <c r="AI214" s="710"/>
      <c r="AJ214" s="710"/>
    </row>
    <row r="215" spans="5:36">
      <c r="E215" s="26"/>
      <c r="T215" s="710"/>
      <c r="AA215" s="710"/>
      <c r="AH215" s="710"/>
      <c r="AI215" s="710"/>
      <c r="AJ215" s="710"/>
    </row>
    <row r="216" spans="5:36">
      <c r="E216" s="26"/>
      <c r="T216" s="710"/>
      <c r="AA216" s="710"/>
      <c r="AH216" s="710"/>
      <c r="AI216" s="710"/>
      <c r="AJ216" s="710"/>
    </row>
    <row r="217" spans="5:36">
      <c r="E217" s="26"/>
      <c r="T217" s="710"/>
      <c r="AA217" s="710"/>
      <c r="AH217" s="710"/>
      <c r="AI217" s="710"/>
      <c r="AJ217" s="710"/>
    </row>
    <row r="218" spans="5:36">
      <c r="E218" s="26"/>
      <c r="T218" s="710"/>
      <c r="AA218" s="710"/>
      <c r="AH218" s="710"/>
      <c r="AI218" s="710"/>
      <c r="AJ218" s="710"/>
    </row>
    <row r="219" spans="5:36">
      <c r="E219" s="26"/>
      <c r="T219" s="710"/>
      <c r="AA219" s="710"/>
      <c r="AH219" s="710"/>
      <c r="AI219" s="710"/>
      <c r="AJ219" s="710"/>
    </row>
    <row r="220" spans="5:36">
      <c r="E220" s="26"/>
      <c r="T220" s="710"/>
      <c r="AA220" s="710"/>
      <c r="AH220" s="710"/>
      <c r="AI220" s="710"/>
      <c r="AJ220" s="710"/>
    </row>
    <row r="221" spans="5:36">
      <c r="E221" s="26"/>
      <c r="T221" s="710"/>
      <c r="AA221" s="710"/>
      <c r="AH221" s="710"/>
      <c r="AI221" s="710"/>
      <c r="AJ221" s="710"/>
    </row>
    <row r="222" spans="5:36">
      <c r="E222" s="26"/>
      <c r="T222" s="710"/>
      <c r="AA222" s="710"/>
    </row>
    <row r="223" spans="5:36">
      <c r="E223" s="26"/>
      <c r="T223" s="710"/>
      <c r="AA223" s="710"/>
    </row>
    <row r="224" spans="5:36">
      <c r="E224" s="26"/>
      <c r="T224" s="710"/>
      <c r="AA224" s="710"/>
    </row>
    <row r="225" spans="5:27">
      <c r="E225" s="26"/>
      <c r="T225" s="710"/>
      <c r="AA225" s="710"/>
    </row>
    <row r="226" spans="5:27">
      <c r="E226" s="26"/>
      <c r="T226" s="710"/>
      <c r="AA226" s="710"/>
    </row>
    <row r="227" spans="5:27">
      <c r="E227" s="26"/>
      <c r="T227" s="710"/>
      <c r="AA227" s="710"/>
    </row>
    <row r="228" spans="5:27">
      <c r="E228" s="26"/>
      <c r="T228" s="710"/>
      <c r="AA228" s="710"/>
    </row>
    <row r="229" spans="5:27">
      <c r="E229" s="26"/>
      <c r="T229" s="710"/>
      <c r="AA229" s="710"/>
    </row>
    <row r="230" spans="5:27">
      <c r="E230" s="26"/>
      <c r="T230" s="710"/>
      <c r="AA230" s="710"/>
    </row>
    <row r="231" spans="5:27">
      <c r="E231" s="26"/>
      <c r="T231" s="710"/>
      <c r="AA231" s="710"/>
    </row>
    <row r="232" spans="5:27">
      <c r="E232" s="26"/>
      <c r="T232" s="710"/>
      <c r="AA232" s="710"/>
    </row>
    <row r="233" spans="5:27">
      <c r="E233" s="26"/>
      <c r="T233" s="710"/>
      <c r="AA233" s="710"/>
    </row>
    <row r="234" spans="5:27">
      <c r="E234" s="26"/>
      <c r="AA234" s="710"/>
    </row>
    <row r="235" spans="5:27">
      <c r="E235" s="26"/>
      <c r="AA235" s="710"/>
    </row>
    <row r="236" spans="5:27">
      <c r="E236" s="26"/>
      <c r="AA236" s="710"/>
    </row>
    <row r="237" spans="5:27">
      <c r="E237" s="26"/>
      <c r="AA237" s="710"/>
    </row>
    <row r="238" spans="5:27">
      <c r="E238" s="26"/>
      <c r="AA238" s="710"/>
    </row>
    <row r="239" spans="5:27">
      <c r="E239" s="26"/>
      <c r="AA239" s="710"/>
    </row>
    <row r="240" spans="5:27">
      <c r="E240" s="26"/>
      <c r="AA240" s="710"/>
    </row>
    <row r="241" spans="5:27">
      <c r="E241" s="26"/>
      <c r="AA241" s="710"/>
    </row>
    <row r="242" spans="5:27">
      <c r="E242" s="26"/>
    </row>
    <row r="243" spans="5:27">
      <c r="E243" s="26"/>
    </row>
    <row r="244" spans="5:27">
      <c r="E244" s="26"/>
    </row>
    <row r="245" spans="5:27">
      <c r="E245" s="26"/>
    </row>
    <row r="246" spans="5:27">
      <c r="E246" s="26"/>
    </row>
    <row r="247" spans="5:27">
      <c r="E247" s="26"/>
    </row>
    <row r="248" spans="5:27">
      <c r="E248" s="26"/>
    </row>
    <row r="249" spans="5:27">
      <c r="E249" s="26"/>
    </row>
    <row r="250" spans="5:27">
      <c r="E250" s="26"/>
    </row>
    <row r="251" spans="5:27">
      <c r="E251" s="26"/>
    </row>
    <row r="252" spans="5:27">
      <c r="E252" s="26"/>
    </row>
  </sheetData>
  <sortState ref="AB67:AG120">
    <sortCondition ref="AB67:AB120"/>
  </sortState>
  <mergeCells count="15">
    <mergeCell ref="U1:Z1"/>
    <mergeCell ref="AB1:AG1"/>
    <mergeCell ref="AB65:AG65"/>
    <mergeCell ref="N1:S1"/>
    <mergeCell ref="U69:Z69"/>
    <mergeCell ref="D1:E2"/>
    <mergeCell ref="G62:L62"/>
    <mergeCell ref="N59:S59"/>
    <mergeCell ref="A6:C6"/>
    <mergeCell ref="A28:E29"/>
    <mergeCell ref="A18:E20"/>
    <mergeCell ref="A21:E25"/>
    <mergeCell ref="G26:L26"/>
    <mergeCell ref="D6:D7"/>
    <mergeCell ref="E6:E7"/>
  </mergeCells>
  <dataValidations count="2">
    <dataValidation type="list" allowBlank="1" showInputMessage="1" showErrorMessage="1" errorTitle="Select from pulldown list" error="Select from pulldown list" promptTitle="Dropdown List" prompt="Select geographic region of contiguous United States (see map on right)" sqref="B4">
      <formula1>"West Coast,Mountain West,Great Plains,South Central,Upper Midwest,New England,Mid-Atlantic,Southeast"</formula1>
    </dataValidation>
    <dataValidation type="list" allowBlank="1" showInputMessage="1" showErrorMessage="1" errorTitle="Select from pulldown list" error="Select from pulldown list" promptTitle="Dropdown List" prompt="Select tree type" sqref="B8:B17">
      <formula1>IF($B$4="West Coast",WCTrees,IF($B$4="Mountain West",MWTrees,IF($B$4="Great Plains",GPTrees,IF($B$4="South Central",SCTrees,IF($B$4="Upper Midwest",UMWTrees,IF($B$4="New England",NETrees,IF($B$4="Mid-Atlantic",MATrees,IF($B$4="Southeast",SETrees))))))))</formula1>
    </dataValidation>
  </dataValidations>
  <printOptions horizontalCentered="1"/>
  <pageMargins left="0.7" right="0.7" top="0.75" bottom="0.75" header="0.3" footer="0.3"/>
  <pageSetup scale="95" orientation="portrait" horizontalDpi="4294967293" verticalDpi="0" r:id="rId1"/>
  <rowBreaks count="1" manualBreakCount="1">
    <brk id="29" max="16383" man="1"/>
  </rowBreaks>
  <colBreaks count="1" manualBreakCount="1">
    <brk id="5" max="1048575" man="1"/>
  </colBreaks>
  <drawing r:id="rId2"/>
  <legacyDrawing r:id="rId3"/>
</worksheet>
</file>

<file path=xl/worksheets/sheet7.xml><?xml version="1.0" encoding="utf-8"?>
<worksheet xmlns="http://schemas.openxmlformats.org/spreadsheetml/2006/main" xmlns:r="http://schemas.openxmlformats.org/officeDocument/2006/relationships">
  <sheetPr codeName="Sheet12">
    <pageSetUpPr fitToPage="1"/>
  </sheetPr>
  <dimension ref="A1:BT604"/>
  <sheetViews>
    <sheetView zoomScaleNormal="100" zoomScaleSheetLayoutView="100" workbookViewId="0">
      <selection activeCell="A7" sqref="A7"/>
    </sheetView>
  </sheetViews>
  <sheetFormatPr defaultColWidth="9.140625" defaultRowHeight="12.75"/>
  <cols>
    <col min="1" max="1" width="11.140625" style="2" customWidth="1"/>
    <col min="2" max="3" width="9.140625" style="2" customWidth="1"/>
    <col min="4" max="4" width="10.42578125" style="2" bestFit="1" customWidth="1"/>
    <col min="5" max="5" width="9.28515625" style="2" customWidth="1"/>
    <col min="6" max="6" width="9.5703125" style="2" bestFit="1" customWidth="1"/>
    <col min="7" max="7" width="9.28515625" style="2" customWidth="1"/>
    <col min="8" max="8" width="9.5703125" style="2" bestFit="1" customWidth="1"/>
    <col min="9" max="9" width="9.85546875" style="2" bestFit="1" customWidth="1"/>
    <col min="10" max="10" width="10" style="2" customWidth="1"/>
    <col min="11" max="11" width="53.28515625" style="147" customWidth="1"/>
    <col min="12" max="12" width="11.7109375" style="2" customWidth="1"/>
    <col min="13" max="13" width="9.28515625" style="2" customWidth="1"/>
    <col min="14" max="14" width="22.28515625" style="2" bestFit="1" customWidth="1"/>
    <col min="15" max="15" width="15.7109375" style="2" bestFit="1" customWidth="1"/>
    <col min="16" max="16" width="10.28515625" style="2" customWidth="1"/>
    <col min="17" max="18" width="9.140625" style="2"/>
    <col min="19" max="19" width="19.85546875" style="2" bestFit="1" customWidth="1"/>
    <col min="20" max="20" width="10.28515625" style="2" bestFit="1" customWidth="1"/>
    <col min="21" max="21" width="9.85546875" style="2" customWidth="1"/>
    <col min="22" max="22" width="10.85546875" style="2" customWidth="1"/>
    <col min="23" max="23" width="18.42578125" style="2" bestFit="1" customWidth="1"/>
    <col min="24" max="24" width="9.7109375" style="2" customWidth="1"/>
    <col min="25" max="25" width="12.28515625" style="2" customWidth="1"/>
    <col min="26" max="26" width="12.140625" style="2" customWidth="1"/>
    <col min="27" max="27" width="13.5703125" style="2" customWidth="1"/>
    <col min="28" max="28" width="12.28515625" style="2" customWidth="1"/>
    <col min="29" max="29" width="10.7109375" style="2" bestFit="1" customWidth="1"/>
    <col min="30" max="30" width="11.7109375" style="2" bestFit="1" customWidth="1"/>
    <col min="31" max="31" width="10.7109375" style="2" bestFit="1" customWidth="1"/>
    <col min="32" max="32" width="11.7109375" style="2" customWidth="1"/>
    <col min="33" max="34" width="10.7109375" style="2" bestFit="1" customWidth="1"/>
    <col min="35" max="35" width="11" style="2" customWidth="1"/>
    <col min="36" max="36" width="11.5703125" style="2" bestFit="1" customWidth="1"/>
    <col min="37" max="37" width="15.28515625" style="2" bestFit="1" customWidth="1"/>
    <col min="38" max="38" width="9.7109375" style="2" customWidth="1"/>
    <col min="39" max="39" width="9.5703125" style="2" bestFit="1" customWidth="1"/>
    <col min="40" max="40" width="9.140625" style="2"/>
    <col min="41" max="42" width="9.5703125" style="2" bestFit="1" customWidth="1"/>
    <col min="43" max="43" width="12.5703125" style="2" bestFit="1" customWidth="1"/>
    <col min="44" max="44" width="12.42578125" style="2" bestFit="1" customWidth="1"/>
    <col min="45" max="45" width="11.7109375" style="2" bestFit="1" customWidth="1"/>
    <col min="46" max="46" width="12.85546875" style="2" bestFit="1" customWidth="1"/>
    <col min="47" max="47" width="13.7109375" style="2" bestFit="1" customWidth="1"/>
    <col min="48" max="48" width="13.28515625" style="2" bestFit="1" customWidth="1"/>
    <col min="49" max="49" width="12.7109375" style="2" customWidth="1"/>
    <col min="50" max="50" width="11.5703125" style="2" customWidth="1"/>
    <col min="51" max="51" width="8.5703125" style="2" customWidth="1"/>
    <col min="52" max="52" width="10.7109375" style="2" bestFit="1" customWidth="1"/>
    <col min="53" max="53" width="10.5703125" style="2" bestFit="1" customWidth="1"/>
    <col min="54" max="55" width="11.28515625" style="2" bestFit="1" customWidth="1"/>
    <col min="56" max="56" width="9.42578125" style="2" bestFit="1" customWidth="1"/>
    <col min="57" max="57" width="10.7109375" style="2" bestFit="1" customWidth="1"/>
    <col min="58" max="58" width="12.28515625" style="2" bestFit="1" customWidth="1"/>
    <col min="59" max="59" width="13.140625" style="2" bestFit="1" customWidth="1"/>
    <col min="60" max="60" width="11.42578125" style="2" bestFit="1" customWidth="1"/>
    <col min="61" max="62" width="14" style="2" bestFit="1" customWidth="1"/>
    <col min="63" max="63" width="11.85546875" style="2" customWidth="1"/>
    <col min="64" max="64" width="11.85546875" style="2" bestFit="1" customWidth="1"/>
    <col min="65" max="65" width="13.28515625" style="2" bestFit="1" customWidth="1"/>
    <col min="66" max="67" width="11.7109375" style="2" bestFit="1" customWidth="1"/>
    <col min="68" max="68" width="9.140625" style="2"/>
    <col min="69" max="69" width="10.5703125" style="2" bestFit="1" customWidth="1"/>
    <col min="70" max="16384" width="9.140625" style="2"/>
  </cols>
  <sheetData>
    <row r="1" spans="1:67" ht="15.6" customHeight="1">
      <c r="A1" s="661" t="str">
        <f>'1-Cover'!A1</f>
        <v>Project Name</v>
      </c>
      <c r="B1" s="657"/>
      <c r="C1" s="657"/>
      <c r="D1" s="657"/>
      <c r="E1" s="657"/>
      <c r="F1" s="657"/>
      <c r="G1" s="657"/>
      <c r="H1" s="657"/>
      <c r="I1" s="867" t="s">
        <v>794</v>
      </c>
      <c r="J1" s="867"/>
    </row>
    <row r="2" spans="1:67" ht="9" customHeight="1">
      <c r="A2" s="662"/>
      <c r="B2" s="657"/>
      <c r="C2" s="657"/>
      <c r="D2" s="657"/>
      <c r="E2" s="657"/>
      <c r="F2" s="657"/>
      <c r="G2" s="657"/>
      <c r="H2" s="657"/>
      <c r="I2" s="867"/>
      <c r="J2" s="867"/>
    </row>
    <row r="3" spans="1:67" ht="18">
      <c r="A3" s="968" t="s">
        <v>456</v>
      </c>
      <c r="B3" s="968"/>
      <c r="C3" s="968"/>
      <c r="D3" s="968"/>
      <c r="E3" s="968"/>
      <c r="F3" s="968"/>
      <c r="G3" s="968"/>
      <c r="H3" s="968"/>
      <c r="I3" s="968"/>
      <c r="J3" s="968"/>
      <c r="K3" s="660" t="s">
        <v>1041</v>
      </c>
      <c r="AG3" s="7"/>
      <c r="AH3" s="5"/>
      <c r="AI3" s="5"/>
      <c r="AJ3" s="5"/>
      <c r="AK3" s="5"/>
      <c r="AL3" s="5"/>
      <c r="AM3" s="5"/>
      <c r="AN3" s="5"/>
      <c r="AO3" s="5"/>
      <c r="AP3" s="5"/>
      <c r="AQ3" s="5"/>
      <c r="AR3" s="5"/>
    </row>
    <row r="4" spans="1:67" s="131" customFormat="1" ht="9" customHeight="1" thickBot="1">
      <c r="A4" s="663"/>
      <c r="B4" s="663"/>
      <c r="C4" s="663"/>
      <c r="D4" s="663"/>
      <c r="E4" s="663"/>
      <c r="F4" s="663"/>
      <c r="G4" s="663"/>
      <c r="H4" s="663"/>
      <c r="I4" s="663"/>
      <c r="J4" s="663"/>
      <c r="K4" s="420"/>
    </row>
    <row r="5" spans="1:67" ht="15" thickBot="1">
      <c r="A5" s="157" t="s">
        <v>60</v>
      </c>
      <c r="B5" s="906" t="s">
        <v>16</v>
      </c>
      <c r="C5" s="906"/>
      <c r="D5" s="906" t="s">
        <v>338</v>
      </c>
      <c r="E5" s="1001"/>
      <c r="F5" s="193" t="s">
        <v>552</v>
      </c>
      <c r="G5" s="158" t="s">
        <v>529</v>
      </c>
      <c r="H5" s="159" t="s">
        <v>555</v>
      </c>
      <c r="I5" s="158" t="s">
        <v>480</v>
      </c>
      <c r="J5" s="160" t="s">
        <v>487</v>
      </c>
      <c r="K5" s="421"/>
      <c r="L5" s="831" t="s">
        <v>971</v>
      </c>
      <c r="M5" s="832"/>
      <c r="AG5" s="1013" t="s">
        <v>838</v>
      </c>
      <c r="AH5" s="1014"/>
      <c r="AI5" s="1014"/>
      <c r="AJ5" s="1014"/>
      <c r="AK5" s="312"/>
      <c r="AL5" s="312"/>
      <c r="AM5" s="312"/>
      <c r="AN5" s="312"/>
      <c r="AO5" s="312"/>
      <c r="AP5" s="314"/>
      <c r="AR5" s="1013" t="s">
        <v>711</v>
      </c>
      <c r="AS5" s="1014"/>
      <c r="AT5" s="1014"/>
      <c r="AU5" s="1014"/>
      <c r="AV5" s="312"/>
      <c r="AW5" s="312"/>
      <c r="AX5" s="312"/>
      <c r="AY5" s="312"/>
      <c r="AZ5" s="312"/>
      <c r="BA5" s="314"/>
      <c r="BC5" s="973" t="s">
        <v>907</v>
      </c>
      <c r="BD5" s="974"/>
      <c r="BE5" s="974"/>
      <c r="BF5" s="974"/>
      <c r="BG5" s="974"/>
      <c r="BH5" s="974"/>
      <c r="BI5" s="974" t="s">
        <v>1015</v>
      </c>
      <c r="BJ5" s="966"/>
      <c r="BK5" s="966"/>
      <c r="BL5" s="966"/>
      <c r="BM5" s="312"/>
      <c r="BN5" s="312"/>
      <c r="BO5" s="314"/>
    </row>
    <row r="6" spans="1:67" ht="16.5" thickBot="1">
      <c r="A6" s="250"/>
      <c r="B6" s="1002"/>
      <c r="C6" s="1002"/>
      <c r="D6" s="1002"/>
      <c r="E6" s="1002"/>
      <c r="F6" s="252"/>
      <c r="G6" s="151" t="str">
        <f>IF($A6="","",VLOOKUP($A6,SiteInfo,2,0))</f>
        <v/>
      </c>
      <c r="H6" s="255" t="str">
        <f>IF($A6="","",VLOOKUP($A6,SiteInfo,4,0))</f>
        <v/>
      </c>
      <c r="I6" s="251" t="str">
        <f>IF($A6="","",VLOOKUP($A6,SiteInfo,9,0))</f>
        <v/>
      </c>
      <c r="J6" s="152" t="str">
        <f>IF(OR($A$6="",$F$6=""),"",IF($F$6="Outside",VLOOKUP($A$6,SiteInfo,10,0),VLOOKUP($A$6,SiteInfo,5,0)))</f>
        <v/>
      </c>
      <c r="K6" s="421" t="str">
        <f>IF($F$6="","",IF(AND($I$6&lt;26,$F$6="Straight"),"CHECK - Structure is located on a meander (Rc/WBF &lt; 26)",""))</f>
        <v/>
      </c>
      <c r="L6" s="1011" t="s">
        <v>970</v>
      </c>
      <c r="M6" s="1012"/>
      <c r="N6" s="1045" t="s">
        <v>194</v>
      </c>
      <c r="O6" s="1046"/>
      <c r="P6" s="1046"/>
      <c r="Q6" s="1047"/>
      <c r="T6" s="268"/>
      <c r="U6" s="268"/>
      <c r="AC6" s="963" t="s">
        <v>558</v>
      </c>
      <c r="AD6" s="966"/>
      <c r="AE6" s="967"/>
      <c r="AG6" s="1015"/>
      <c r="AH6" s="1008"/>
      <c r="AI6" s="1008"/>
      <c r="AJ6" s="1008"/>
      <c r="AK6" s="134"/>
      <c r="AL6" s="134"/>
      <c r="AM6" s="134"/>
      <c r="AN6" s="134"/>
      <c r="AO6" s="134"/>
      <c r="AP6" s="316"/>
      <c r="AR6" s="1015"/>
      <c r="AS6" s="1008"/>
      <c r="AT6" s="1008"/>
      <c r="AU6" s="1008"/>
      <c r="AV6" s="134"/>
      <c r="AW6" s="134"/>
      <c r="AX6" s="134"/>
      <c r="AY6" s="134"/>
      <c r="AZ6" s="134"/>
      <c r="BA6" s="316"/>
      <c r="BC6" s="975" t="s">
        <v>909</v>
      </c>
      <c r="BD6" s="976"/>
      <c r="BE6" s="542">
        <f>IF($G$22="","",$G$22/$BC$39)</f>
        <v>0</v>
      </c>
      <c r="BF6" s="543" t="s">
        <v>914</v>
      </c>
      <c r="BG6" s="544">
        <f>IF($AE$8="","",$AE$8)</f>
        <v>0</v>
      </c>
      <c r="BH6" s="318" t="s">
        <v>915</v>
      </c>
      <c r="BI6" s="544">
        <f>IF($H$22="","",$H$22/2)</f>
        <v>0</v>
      </c>
      <c r="BJ6" s="543" t="s">
        <v>910</v>
      </c>
      <c r="BK6" s="544">
        <f>IF($U$10="","",$U$10)</f>
        <v>0</v>
      </c>
      <c r="BL6" s="543" t="s">
        <v>912</v>
      </c>
      <c r="BM6" s="544">
        <f>IF($U$15="","",$U$15)</f>
        <v>0</v>
      </c>
      <c r="BN6" s="134"/>
      <c r="BO6" s="316"/>
    </row>
    <row r="7" spans="1:67" ht="16.5" thickBot="1">
      <c r="A7" s="664"/>
      <c r="B7" s="665"/>
      <c r="C7" s="666"/>
      <c r="D7" s="667"/>
      <c r="E7" s="667"/>
      <c r="F7" s="667"/>
      <c r="G7" s="668"/>
      <c r="H7" s="669"/>
      <c r="I7" s="670"/>
      <c r="J7" s="671"/>
      <c r="K7" s="421" t="str">
        <f>IF(OR($F$6="",$I$6=""),"",IF(AND($I$6&gt;26,$F$6&lt;&gt;"Straight"),"CHECK - Structure is not on a meander (Rc/WBF &gt; 26)",""))</f>
        <v/>
      </c>
      <c r="L7" s="1062" t="s">
        <v>15</v>
      </c>
      <c r="M7" s="1063"/>
      <c r="N7" s="1048" t="s">
        <v>832</v>
      </c>
      <c r="O7" s="1049"/>
      <c r="P7" s="1049"/>
      <c r="Q7" s="1050"/>
      <c r="AC7" s="377"/>
      <c r="AD7" s="357" t="s">
        <v>541</v>
      </c>
      <c r="AE7" s="358" t="s">
        <v>542</v>
      </c>
      <c r="AG7" s="317"/>
      <c r="AH7" s="336" t="s">
        <v>608</v>
      </c>
      <c r="AI7" s="336">
        <f>$F$22/2</f>
        <v>0</v>
      </c>
      <c r="AJ7" s="325" t="s">
        <v>4</v>
      </c>
      <c r="AK7" s="134"/>
      <c r="AL7" s="134"/>
      <c r="AM7" s="134"/>
      <c r="AN7" s="134"/>
      <c r="AO7" s="134"/>
      <c r="AP7" s="316"/>
      <c r="AR7" s="317"/>
      <c r="AS7" s="336" t="s">
        <v>608</v>
      </c>
      <c r="AT7" s="336">
        <f>$F$22/2</f>
        <v>0</v>
      </c>
      <c r="AU7" s="325" t="s">
        <v>4</v>
      </c>
      <c r="AV7" s="134"/>
      <c r="AW7" s="134"/>
      <c r="AX7" s="134"/>
      <c r="AY7" s="134"/>
      <c r="AZ7" s="134"/>
      <c r="BA7" s="316"/>
      <c r="BC7" s="317"/>
      <c r="BD7" s="134"/>
      <c r="BE7" s="134"/>
      <c r="BF7" s="543" t="s">
        <v>917</v>
      </c>
      <c r="BG7" s="544">
        <f>$C$16</f>
        <v>0</v>
      </c>
      <c r="BH7" s="318" t="s">
        <v>916</v>
      </c>
      <c r="BI7" s="544" t="str">
        <f>IF($F$22="","",$F$22/2)</f>
        <v/>
      </c>
      <c r="BJ7" s="543" t="s">
        <v>911</v>
      </c>
      <c r="BK7" s="544">
        <f>IF($U$11="","",$U$11)</f>
        <v>0</v>
      </c>
      <c r="BL7" s="543" t="s">
        <v>913</v>
      </c>
      <c r="BM7" s="544">
        <f>IF($U$14="","",$U$14)</f>
        <v>0</v>
      </c>
      <c r="BN7" s="134"/>
      <c r="BO7" s="316"/>
    </row>
    <row r="8" spans="1:67" ht="13.9" customHeight="1" thickBot="1">
      <c r="A8" s="969" t="s">
        <v>785</v>
      </c>
      <c r="B8" s="157" t="s">
        <v>944</v>
      </c>
      <c r="C8" s="197" t="s">
        <v>945</v>
      </c>
      <c r="D8" s="667"/>
      <c r="E8" s="667"/>
      <c r="F8" s="667"/>
      <c r="G8" s="668"/>
      <c r="H8" s="669"/>
      <c r="I8" s="670"/>
      <c r="J8" s="671"/>
      <c r="K8" s="421"/>
      <c r="L8" s="1062" t="s">
        <v>328</v>
      </c>
      <c r="M8" s="1063"/>
      <c r="N8" s="1048" t="s">
        <v>976</v>
      </c>
      <c r="O8" s="1049"/>
      <c r="P8" s="1049"/>
      <c r="Q8" s="1051"/>
      <c r="S8" s="1029" t="s">
        <v>648</v>
      </c>
      <c r="T8" s="964"/>
      <c r="U8" s="965"/>
      <c r="W8" s="1031"/>
      <c r="X8" s="832"/>
      <c r="Y8" s="832"/>
      <c r="AC8" s="364" t="s">
        <v>561</v>
      </c>
      <c r="AD8" s="371">
        <f>IF(OR($A$6="",$C$16=""),0,IF(($H$6+$C$16)&gt;=$C$13,$B$13,IF(AND(($H$6+$C$16)&lt;$C$13,($H$6+$C$16)&gt;=$C$14),((($C$13-($H$6+$C$16))/($C$13-$C$14))*($B$14-$B$13))+$B$13,IF(AND(($H$6+$C$16)&lt;$C$14,($H$6+$C$16)&gt;=$C$15),((($C$14-($H$6+$C$16))/($C$14-$C$15))*($B$15-$B$14))+$B$14,IF(AND(($H$6+$C$16)&lt;$C$15,($H$6+$C$16)&gt;=$C$16),((($C$15-($H$6+$C$16))/($C$15-$C$16))*($B$16-$B$15))+$B$15,"")))))</f>
        <v>0</v>
      </c>
      <c r="AE8" s="359">
        <f>IF(OR($A$6="",$C$16=""),$C$13,$H$6+$C$16)</f>
        <v>0</v>
      </c>
      <c r="AG8" s="317"/>
      <c r="AH8" s="341" t="s">
        <v>609</v>
      </c>
      <c r="AI8" s="342">
        <f>ABS($C$25)*PI()/180</f>
        <v>0</v>
      </c>
      <c r="AJ8" s="325" t="s">
        <v>592</v>
      </c>
      <c r="AK8" s="134"/>
      <c r="AL8" s="134"/>
      <c r="AM8" s="134"/>
      <c r="AN8" s="134"/>
      <c r="AO8" s="134"/>
      <c r="AP8" s="316"/>
      <c r="AR8" s="317"/>
      <c r="AS8" s="341" t="s">
        <v>609</v>
      </c>
      <c r="AT8" s="342">
        <f>ABS($C$25)*PI()/180</f>
        <v>0</v>
      </c>
      <c r="AU8" s="325" t="s">
        <v>592</v>
      </c>
      <c r="AV8" s="134"/>
      <c r="AW8" s="134"/>
      <c r="AX8" s="134"/>
      <c r="AY8" s="134"/>
      <c r="AZ8" s="134"/>
      <c r="BA8" s="316"/>
      <c r="BC8" s="317"/>
      <c r="BD8" s="134"/>
      <c r="BE8" s="134"/>
      <c r="BF8" s="134"/>
      <c r="BG8" s="134"/>
      <c r="BH8" s="134"/>
      <c r="BI8" s="134"/>
      <c r="BJ8" s="134"/>
      <c r="BK8" s="134"/>
      <c r="BL8" s="134"/>
      <c r="BM8" s="134"/>
      <c r="BN8" s="134"/>
      <c r="BO8" s="316"/>
    </row>
    <row r="9" spans="1:67" ht="16.5" thickBot="1">
      <c r="A9" s="970"/>
      <c r="B9" s="540"/>
      <c r="C9" s="576"/>
      <c r="D9" s="667"/>
      <c r="E9" s="667"/>
      <c r="F9" s="667"/>
      <c r="G9" s="668"/>
      <c r="H9" s="669"/>
      <c r="I9" s="670"/>
      <c r="J9" s="671"/>
      <c r="L9" s="1062" t="s">
        <v>329</v>
      </c>
      <c r="M9" s="1063"/>
      <c r="N9" s="1048" t="s">
        <v>833</v>
      </c>
      <c r="O9" s="1049"/>
      <c r="P9" s="1049"/>
      <c r="Q9" s="1051"/>
      <c r="R9" s="424"/>
      <c r="S9" s="465"/>
      <c r="T9" s="407" t="s">
        <v>541</v>
      </c>
      <c r="U9" s="428" t="s">
        <v>542</v>
      </c>
      <c r="W9" s="366" t="s">
        <v>570</v>
      </c>
      <c r="X9" s="367" t="s">
        <v>541</v>
      </c>
      <c r="Y9" s="367"/>
      <c r="Z9" s="367" t="s">
        <v>542</v>
      </c>
      <c r="AA9" s="314"/>
      <c r="AC9" s="365" t="s">
        <v>561</v>
      </c>
      <c r="AD9" s="373">
        <f>IF(OR($A$6="",$C$16=""),0,IF(($H$6+$C$16)&gt;=$C$19,$B$19,IF(AND(($H$6+$C$16)&lt;$C$19,($H$6+$C$16)&gt;=$C$18),(((($H$6+$C$16)-$C$18)/($C$19-$C$18))*($B$19-$B$18))+$B$18,IF(AND(($H$6+$C$16)&lt;$C$18,($H$6+$C$16)&gt;=$C$17),(((($H$6+$C$16)-$C$17)/($C$18-$C$17))*($B$18-$B$17))+$B$17,IF(AND(($H$6+$C$16)&lt;$C$17,($H$6+$C$16)&gt;=$C$16),(((($H$6+$C$16)-$C$16)/($C$17-$C$16))*($B$17-$B$16))+$B$16,"")))))</f>
        <v>0</v>
      </c>
      <c r="AE9" s="361">
        <f>IF(OR($A$6="",$C$16=""),$C$13,$H$6+$C$16)</f>
        <v>0</v>
      </c>
      <c r="AG9" s="343"/>
      <c r="AH9" s="344" t="s">
        <v>633</v>
      </c>
      <c r="AI9" s="336" t="str">
        <f>IF($AB$23&gt;$AB$24,$AB$23,IF($AB$23&lt;$AB$24,$AB$24,""))</f>
        <v/>
      </c>
      <c r="AJ9" s="325" t="s">
        <v>4</v>
      </c>
      <c r="AK9" s="134"/>
      <c r="AL9" s="134"/>
      <c r="AM9" s="134"/>
      <c r="AN9" s="134"/>
      <c r="AO9" s="134"/>
      <c r="AP9" s="316"/>
      <c r="AR9" s="343"/>
      <c r="AS9" s="344" t="s">
        <v>633</v>
      </c>
      <c r="AT9" s="336" t="str">
        <f>IF($Z$23&gt;$Z$24,$Z$23,IF($Z$23&lt;$Z$24,$Z$24,""))</f>
        <v/>
      </c>
      <c r="AU9" s="325" t="s">
        <v>4</v>
      </c>
      <c r="AV9" s="134"/>
      <c r="AW9" s="134"/>
      <c r="AX9" s="134"/>
      <c r="AY9" s="134"/>
      <c r="AZ9" s="134"/>
      <c r="BA9" s="316"/>
      <c r="BC9" s="549" t="s">
        <v>908</v>
      </c>
      <c r="BD9" s="357" t="s">
        <v>918</v>
      </c>
      <c r="BE9" s="357" t="s">
        <v>919</v>
      </c>
      <c r="BF9" s="541" t="s">
        <v>920</v>
      </c>
      <c r="BG9" s="541" t="s">
        <v>921</v>
      </c>
      <c r="BH9" s="541" t="s">
        <v>922</v>
      </c>
      <c r="BI9" s="541" t="s">
        <v>923</v>
      </c>
      <c r="BJ9" s="541" t="s">
        <v>924</v>
      </c>
      <c r="BK9" s="541" t="s">
        <v>925</v>
      </c>
      <c r="BL9" s="541" t="s">
        <v>926</v>
      </c>
      <c r="BM9" s="541" t="s">
        <v>927</v>
      </c>
      <c r="BN9" s="541" t="s">
        <v>928</v>
      </c>
      <c r="BO9" s="550" t="s">
        <v>929</v>
      </c>
    </row>
    <row r="10" spans="1:67" ht="16.5" thickBot="1">
      <c r="A10" s="657"/>
      <c r="B10" s="657"/>
      <c r="C10" s="657"/>
      <c r="D10" s="672"/>
      <c r="E10" s="673"/>
      <c r="F10" s="657"/>
      <c r="G10" s="657"/>
      <c r="H10" s="657"/>
      <c r="I10" s="673"/>
      <c r="J10" s="673"/>
      <c r="K10" s="421" t="str">
        <f>IF(OR($C$14="",$C$15=""),"",IF($C$15&gt;=$C$14,"ERROR - LB top elevation must be &gt; LB toe elevation",""))</f>
        <v/>
      </c>
      <c r="L10" s="1062" t="s">
        <v>974</v>
      </c>
      <c r="M10" s="1063"/>
      <c r="N10" s="1048" t="s">
        <v>977</v>
      </c>
      <c r="O10" s="1049"/>
      <c r="P10" s="1049"/>
      <c r="Q10" s="1051"/>
      <c r="R10" s="599" t="s">
        <v>572</v>
      </c>
      <c r="S10" s="466" t="s">
        <v>566</v>
      </c>
      <c r="T10" s="346">
        <f>IF($F$25="",0,IF($D$25="Rootwad: Crown",$F$25,IF($D$22="No",$T$15+(($F$22*-$M$20)*$M$17),$T$15+(($H$22*-$M$20)*$M$17))))</f>
        <v>0</v>
      </c>
      <c r="U10" s="600">
        <f>IF($G$25="",$C$13,IF($D$25="Rootwad: Crown",$G$25,IF($D$22="No",$U$15+($F$22*$M$19),$U$15+($H$22*$M$19))))</f>
        <v>0</v>
      </c>
      <c r="W10" s="364" t="s">
        <v>566</v>
      </c>
      <c r="X10" s="336">
        <f>IF($D$22="No",$T$15+(($F$22*-$M$20)*$M$17),$T$15+(($H$22*-$M$20)*$M$17))</f>
        <v>0</v>
      </c>
      <c r="Y10" s="362" t="str">
        <f t="shared" ref="Y10:Y15" si="0">IF(X10=T10,"OK","ERROR")</f>
        <v>OK</v>
      </c>
      <c r="Z10" s="336">
        <f>IF($D$22="No",$U$15+($F$22*$M$19),$U$15+($H$22*$M$19))</f>
        <v>0</v>
      </c>
      <c r="AA10" s="368" t="str">
        <f t="shared" ref="AA10:AA15" si="1">IF(Z10=U10,"OK","ERROR")</f>
        <v>OK</v>
      </c>
      <c r="AG10" s="343"/>
      <c r="AH10" s="344" t="s">
        <v>635</v>
      </c>
      <c r="AI10" s="336" t="str">
        <f>IF(AND($AB$23&gt;0,$AB$24&gt;0),(($AB$23/COS($AI$8))+($AB$24/COS($AI$8)))/2,"")</f>
        <v/>
      </c>
      <c r="AJ10" s="325" t="s">
        <v>4</v>
      </c>
      <c r="AK10" s="134"/>
      <c r="AL10" s="134"/>
      <c r="AM10" s="134"/>
      <c r="AN10" s="134"/>
      <c r="AO10" s="134"/>
      <c r="AP10" s="316"/>
      <c r="AR10" s="343"/>
      <c r="AS10" s="344" t="s">
        <v>635</v>
      </c>
      <c r="AT10" s="336" t="str">
        <f>IF(AND($Z$23&gt;0,$Z$24&gt;0),(($Z$23/COS($AT$8))+($Z$24/COS($AT$8)))/2,"")</f>
        <v/>
      </c>
      <c r="AU10" s="325" t="s">
        <v>4</v>
      </c>
      <c r="AV10" s="134"/>
      <c r="AW10" s="134"/>
      <c r="AX10" s="134"/>
      <c r="AY10" s="134"/>
      <c r="AZ10" s="134"/>
      <c r="BA10" s="316"/>
      <c r="BC10" s="545">
        <v>1</v>
      </c>
      <c r="BD10" s="344">
        <f>($BE$6/2)+(($BC10-1)*$BE$6)</f>
        <v>0</v>
      </c>
      <c r="BE10" s="330" t="e">
        <f t="shared" ref="BE10:BE39" si="2">(($G$22-$BD10)/$G$22)*($BI$6-$BI$7)+$BI$7</f>
        <v>#DIV/0!</v>
      </c>
      <c r="BF10" s="330" t="e">
        <f>PI()*($BE10^2)</f>
        <v>#DIV/0!</v>
      </c>
      <c r="BG10" s="330" t="e">
        <f>$BF10*$BE$6</f>
        <v>#DIV/0!</v>
      </c>
      <c r="BH10" s="330" t="e">
        <f t="shared" ref="BH10:BH39" si="3">(($G$22-$BD10)/$G$22)*($BK$6-$BK$7)+$BK$7</f>
        <v>#DIV/0!</v>
      </c>
      <c r="BI10" s="330" t="e">
        <f t="shared" ref="BI10:BI39" si="4">(($G$22-$BD10)/$G$22)*($BM$6-$BM$7)+$BM$7</f>
        <v>#DIV/0!</v>
      </c>
      <c r="BJ10" s="330" t="e">
        <f>IF($BH10&lt;=$BG$6,0,IF((($BH10-$BG$6)*$M$19)&gt;=($BE10*2),$BE10*2,($BH10-$BG$6)*$M$19))</f>
        <v>#DIV/0!</v>
      </c>
      <c r="BK10" s="330" t="e">
        <f>(($BE10^2)*ACOS(($BE10-$BJ10)/$BE10))-(($BE10-$BJ10)*SQRT(2*$BE10*$BJ10-($BJ10^2)))</f>
        <v>#DIV/0!</v>
      </c>
      <c r="BL10" s="330" t="e">
        <f>$BK10*$BE$6</f>
        <v>#DIV/0!</v>
      </c>
      <c r="BM10" s="330" t="e">
        <f>IF($BI10&gt;=$BG$7,0,IF((($BG$7-$BI10)*$M$19)&gt;=($BE10*2),$BE10*2,($BG$7-$BI10)*$M$19))</f>
        <v>#DIV/0!</v>
      </c>
      <c r="BN10" s="330" t="e">
        <f>(($BE10^2)*ACOS(($BE10-$BM10)/$BE10))-(($BE10-$BM10)*SQRT(2*$BE10*$BM10-($BM10^2)))</f>
        <v>#DIV/0!</v>
      </c>
      <c r="BO10" s="432" t="e">
        <f>$BN10*$BE$6</f>
        <v>#DIV/0!</v>
      </c>
    </row>
    <row r="11" spans="1:67" ht="16.5" thickBot="1">
      <c r="A11" s="1052" t="s">
        <v>766</v>
      </c>
      <c r="B11" s="1053"/>
      <c r="C11" s="915"/>
      <c r="D11" s="667"/>
      <c r="E11" s="673"/>
      <c r="F11" s="657"/>
      <c r="G11" s="657"/>
      <c r="H11" s="657"/>
      <c r="I11" s="673"/>
      <c r="J11" s="673"/>
      <c r="K11" s="421" t="str">
        <f>IF(OR($C$15="",$C$16="",$C$17=""),"",IF(OR($C$15&lt;$C$16,$C$17&lt;$C$16),"ERROR - Toe elevation must be &gt;= thalweg elevation",""))</f>
        <v/>
      </c>
      <c r="L11" s="1062" t="s">
        <v>973</v>
      </c>
      <c r="M11" s="1063"/>
      <c r="N11" s="1048" t="s">
        <v>978</v>
      </c>
      <c r="O11" s="1049"/>
      <c r="P11" s="1049"/>
      <c r="Q11" s="1051"/>
      <c r="R11" s="599" t="s">
        <v>573</v>
      </c>
      <c r="S11" s="466" t="s">
        <v>565</v>
      </c>
      <c r="T11" s="346">
        <f>IF($F$25="",0,IF($D$25="Root collar: Crown",$F$25,IF($D$22="No",$T$10,$T$10+(($G$22*$M$19)*$M$17)-(((($H$22-$F$22)/2)*-$M$20)*$M$17))))</f>
        <v>0</v>
      </c>
      <c r="U11" s="600">
        <f>IF($G$25="",$C$13,IF($D$25="Root collar: Crown",$G$25,IF($D$22="No",$U$10,$U$10-($G$22*-$M$20)-((($H$22-$F$22)/2)*$M$19))))</f>
        <v>0</v>
      </c>
      <c r="W11" s="364" t="s">
        <v>565</v>
      </c>
      <c r="X11" s="336">
        <f>IF($D$22="No",$X$10,$T$10+(($G$22*$M$19)*$M$17)-(((($H$22-$F$22)/2)*-$M$20)*$M$17))</f>
        <v>0</v>
      </c>
      <c r="Y11" s="362" t="str">
        <f t="shared" si="0"/>
        <v>OK</v>
      </c>
      <c r="Z11" s="336">
        <f>IF($D$22="No",$Z$10,$U$10-($G$22*-$M$20)-((($H$22-$F$22)/2)*$M$19))</f>
        <v>0</v>
      </c>
      <c r="AA11" s="368" t="str">
        <f t="shared" si="1"/>
        <v>OK</v>
      </c>
      <c r="AC11" s="963" t="s">
        <v>563</v>
      </c>
      <c r="AD11" s="966"/>
      <c r="AE11" s="967"/>
      <c r="AG11" s="343"/>
      <c r="AH11" s="344" t="s">
        <v>610</v>
      </c>
      <c r="AI11" s="330" t="e">
        <f>IF($AI$9/COS($AI$8)&gt;$F$22,$F$22,$AI$9/COS($AI$8))</f>
        <v>#VALUE!</v>
      </c>
      <c r="AJ11" s="325" t="s">
        <v>4</v>
      </c>
      <c r="AK11" s="134"/>
      <c r="AL11" s="134"/>
      <c r="AM11" s="134"/>
      <c r="AN11" s="134"/>
      <c r="AO11" s="134"/>
      <c r="AP11" s="316"/>
      <c r="AR11" s="343"/>
      <c r="AS11" s="344" t="s">
        <v>610</v>
      </c>
      <c r="AT11" s="330" t="e">
        <f>IF($AT$9/COS($AT$8)&gt;$F$22,$F$22,$AT$9/COS($AT$8))</f>
        <v>#VALUE!</v>
      </c>
      <c r="AU11" s="325" t="s">
        <v>4</v>
      </c>
      <c r="AV11" s="134"/>
      <c r="AW11" s="134"/>
      <c r="AX11" s="134"/>
      <c r="AY11" s="134"/>
      <c r="AZ11" s="134"/>
      <c r="BA11" s="316"/>
      <c r="BC11" s="545">
        <v>2</v>
      </c>
      <c r="BD11" s="344">
        <f t="shared" ref="BD11:BD39" si="5">($BE$6/2)+(($BC11-1)*$BE$6)</f>
        <v>0</v>
      </c>
      <c r="BE11" s="330" t="e">
        <f t="shared" si="2"/>
        <v>#DIV/0!</v>
      </c>
      <c r="BF11" s="330" t="e">
        <f t="shared" ref="BF11:BF39" si="6">PI()*($BE11^2)</f>
        <v>#DIV/0!</v>
      </c>
      <c r="BG11" s="330" t="e">
        <f t="shared" ref="BG11:BG39" si="7">$BF11*$BE$6</f>
        <v>#DIV/0!</v>
      </c>
      <c r="BH11" s="330" t="e">
        <f t="shared" si="3"/>
        <v>#DIV/0!</v>
      </c>
      <c r="BI11" s="330" t="e">
        <f t="shared" si="4"/>
        <v>#DIV/0!</v>
      </c>
      <c r="BJ11" s="330" t="e">
        <f t="shared" ref="BJ11:BJ39" si="8">IF($BH11&lt;=$BG$6,0,IF((($BH11-$BG$6)*$M$19)&gt;=($BE11*2),$BE11*2,($BH11-$BG$6)*$M$19))</f>
        <v>#DIV/0!</v>
      </c>
      <c r="BK11" s="330" t="e">
        <f t="shared" ref="BK11:BK39" si="9">(($BE11^2)*ACOS(($BE11-$BJ11)/$BE11))-(($BE11-$BJ11)*SQRT(2*$BE11*$BJ11-($BJ11^2)))</f>
        <v>#DIV/0!</v>
      </c>
      <c r="BL11" s="330" t="e">
        <f t="shared" ref="BL11:BL39" si="10">$BK11*$BE$6</f>
        <v>#DIV/0!</v>
      </c>
      <c r="BM11" s="330" t="e">
        <f t="shared" ref="BM11:BM39" si="11">IF($BI11&gt;=$BG$7,0,IF((($BG$7-$BI11)*$M$19)&gt;=($BE11*2),$BE11*2,($BG$7-$BI11)*$M$19))</f>
        <v>#DIV/0!</v>
      </c>
      <c r="BN11" s="330" t="e">
        <f t="shared" ref="BN11:BN39" si="12">(($BE11^2)*ACOS(($BE11-$BM11)/$BE11))-(($BE11-$BM11)*SQRT(2*$BE11*$BM11-($BM11^2)))</f>
        <v>#DIV/0!</v>
      </c>
      <c r="BO11" s="432" t="e">
        <f t="shared" ref="BO11:BO39" si="13">$BN11*$BE$6</f>
        <v>#DIV/0!</v>
      </c>
    </row>
    <row r="12" spans="1:67" ht="16.5" thickBot="1">
      <c r="A12" s="470" t="s">
        <v>540</v>
      </c>
      <c r="B12" s="471" t="s">
        <v>541</v>
      </c>
      <c r="C12" s="472" t="s">
        <v>542</v>
      </c>
      <c r="D12" s="667"/>
      <c r="E12" s="673"/>
      <c r="F12" s="657"/>
      <c r="G12" s="657"/>
      <c r="H12" s="657"/>
      <c r="I12" s="673"/>
      <c r="J12" s="673"/>
      <c r="K12" s="421" t="str">
        <f>IF(OR($C$18="",$C$17=""),"",IF($C$17&gt;=$C$18,"ERROR - RB top elevation must be &gt; RB toe elevation",""))</f>
        <v/>
      </c>
      <c r="L12" s="1062" t="s">
        <v>968</v>
      </c>
      <c r="M12" s="1063"/>
      <c r="N12" s="1048" t="s">
        <v>979</v>
      </c>
      <c r="O12" s="1049"/>
      <c r="P12" s="1049"/>
      <c r="Q12" s="1051"/>
      <c r="R12" s="599" t="s">
        <v>574</v>
      </c>
      <c r="S12" s="466" t="s">
        <v>568</v>
      </c>
      <c r="T12" s="346">
        <f>IF($F$25="",0,IF($D$25="Stem tip: Crown",$F$25,$T$11+((($E$22-$G$22)*$M$19)*$M$17)))</f>
        <v>0</v>
      </c>
      <c r="U12" s="600">
        <f>IF($G$25="",$C$13,IF($D$25="Stem tip: Crown",$G$25,$U$11-(($E$22-$G$22)*-$M$20)))</f>
        <v>0</v>
      </c>
      <c r="W12" s="364" t="s">
        <v>568</v>
      </c>
      <c r="X12" s="336">
        <f>$T$11+((($E$22-$G$22)*$M$19)*$M$17)</f>
        <v>0</v>
      </c>
      <c r="Y12" s="362" t="str">
        <f t="shared" si="0"/>
        <v>OK</v>
      </c>
      <c r="Z12" s="336">
        <f>$U$11-(($E$22-$G$22)*-$M$20)</f>
        <v>0</v>
      </c>
      <c r="AA12" s="368" t="str">
        <f t="shared" si="1"/>
        <v>OK</v>
      </c>
      <c r="AC12" s="365" t="s">
        <v>561</v>
      </c>
      <c r="AD12" s="375">
        <f>IF($AD$8="","",AVERAGE(AD8:AD9))</f>
        <v>0</v>
      </c>
      <c r="AE12" s="376">
        <f>IF($AE$8="","",AVERAGE(AE8:AE9))</f>
        <v>0</v>
      </c>
      <c r="AG12" s="343"/>
      <c r="AH12" s="344" t="s">
        <v>611</v>
      </c>
      <c r="AI12" s="336">
        <f>IF(AND($AB$23&gt;$F$22,$AB$24&gt;$F$22),0,IF(AND($AB$23&gt;=$F$22,(($F$22-$AB$24)/(COS($AI$8)))&gt;$F$22),$F$22,IF($AB$23&gt;=$F$22,($F$22-$AB$24)/(COS($AI$8)),IF(AND($AB$24&gt;=$F$22,(($F$22-$AB$23)/(COS($AI$8))&gt;$F$22)),$F$22,IF($AB$24&gt;=$F$22,($F$22-$AB$23)/(COS($AI$8)),"")))))</f>
        <v>0</v>
      </c>
      <c r="AJ12" s="325" t="s">
        <v>4</v>
      </c>
      <c r="AK12" s="134"/>
      <c r="AL12" s="134"/>
      <c r="AM12" s="134"/>
      <c r="AN12" s="134"/>
      <c r="AO12" s="134"/>
      <c r="AP12" s="316"/>
      <c r="AQ12" s="283"/>
      <c r="AR12" s="343"/>
      <c r="AS12" s="344" t="s">
        <v>611</v>
      </c>
      <c r="AT12" s="336">
        <f>IF(AND($Z$23&gt;$F$22,$Z$24&gt;$F$22),0,IF(AND($Z$23&gt;=$F$22,(($F$22-$Z$24)/(COS($AT$8)))&gt;$F$22),$F$22,IF($Z$23&gt;=$F$22,($F$22-$Z$24)/(COS($AT$8)),IF(AND($Z$24&gt;=$F$22,(($F$22-$Z$23)/(COS($AT$8))&gt;$F$22)),$F$22,IF($Z$24&gt;=$F$22,($F$22-$Z$23)/(COS($AT$8)),"")))))</f>
        <v>0</v>
      </c>
      <c r="AU12" s="325" t="s">
        <v>4</v>
      </c>
      <c r="AV12" s="134"/>
      <c r="AW12" s="134"/>
      <c r="AX12" s="134"/>
      <c r="AY12" s="134"/>
      <c r="AZ12" s="134"/>
      <c r="BA12" s="316"/>
      <c r="BC12" s="545">
        <v>3</v>
      </c>
      <c r="BD12" s="344">
        <f t="shared" si="5"/>
        <v>0</v>
      </c>
      <c r="BE12" s="330" t="e">
        <f t="shared" si="2"/>
        <v>#DIV/0!</v>
      </c>
      <c r="BF12" s="330" t="e">
        <f t="shared" si="6"/>
        <v>#DIV/0!</v>
      </c>
      <c r="BG12" s="330" t="e">
        <f t="shared" si="7"/>
        <v>#DIV/0!</v>
      </c>
      <c r="BH12" s="330" t="e">
        <f t="shared" si="3"/>
        <v>#DIV/0!</v>
      </c>
      <c r="BI12" s="330" t="e">
        <f t="shared" si="4"/>
        <v>#DIV/0!</v>
      </c>
      <c r="BJ12" s="330" t="e">
        <f t="shared" si="8"/>
        <v>#DIV/0!</v>
      </c>
      <c r="BK12" s="330" t="e">
        <f t="shared" si="9"/>
        <v>#DIV/0!</v>
      </c>
      <c r="BL12" s="330" t="e">
        <f t="shared" si="10"/>
        <v>#DIV/0!</v>
      </c>
      <c r="BM12" s="330" t="e">
        <f t="shared" si="11"/>
        <v>#DIV/0!</v>
      </c>
      <c r="BN12" s="330" t="e">
        <f t="shared" si="12"/>
        <v>#DIV/0!</v>
      </c>
      <c r="BO12" s="432" t="e">
        <f t="shared" si="13"/>
        <v>#DIV/0!</v>
      </c>
    </row>
    <row r="13" spans="1:67" ht="16.5" thickBot="1">
      <c r="A13" s="161" t="s">
        <v>549</v>
      </c>
      <c r="B13" s="245"/>
      <c r="C13" s="257"/>
      <c r="D13" s="667"/>
      <c r="E13" s="673"/>
      <c r="F13" s="673"/>
      <c r="G13" s="673"/>
      <c r="H13" s="673"/>
      <c r="I13" s="673"/>
      <c r="J13" s="673"/>
      <c r="K13" s="421" t="str">
        <f>IF(OR($B$14&lt;$B$13,$B$15&lt;$B$14,$B$16&lt;$B$15,$B$17&lt;$B$16,$B$18&lt;$B$17,$B$19&lt;$B$18),"ERROR - Each 'x' distance must be &gt;= previous point","")</f>
        <v/>
      </c>
      <c r="L13" s="1062" t="s">
        <v>972</v>
      </c>
      <c r="M13" s="1063"/>
      <c r="N13" s="1048" t="s">
        <v>980</v>
      </c>
      <c r="O13" s="1049"/>
      <c r="P13" s="1049"/>
      <c r="Q13" s="1051"/>
      <c r="R13" s="599" t="s">
        <v>575</v>
      </c>
      <c r="S13" s="466" t="s">
        <v>569</v>
      </c>
      <c r="T13" s="346">
        <f>IF($F$25="",0,IF($D$25="Stem tip: Bottom",$F$25,$T$12-(($F$22*-$M$20)*$M$17)))</f>
        <v>0</v>
      </c>
      <c r="U13" s="600">
        <f>IF($G$25="",$C$13,IF($D$25="Stem tip: Bottom",$G$25,$U$12-($F$22*$M$19)))</f>
        <v>0</v>
      </c>
      <c r="V13" s="268"/>
      <c r="W13" s="364" t="s">
        <v>569</v>
      </c>
      <c r="X13" s="336">
        <f>$T$12-(($F$22*-$M$20)*$M$17)</f>
        <v>0</v>
      </c>
      <c r="Y13" s="362" t="str">
        <f t="shared" si="0"/>
        <v>OK</v>
      </c>
      <c r="Z13" s="336">
        <f>$U$12-($F$22*$M$19)</f>
        <v>0</v>
      </c>
      <c r="AA13" s="368" t="str">
        <f t="shared" si="1"/>
        <v>OK</v>
      </c>
      <c r="AG13" s="343"/>
      <c r="AH13" s="345" t="s">
        <v>632</v>
      </c>
      <c r="AI13" s="346" t="e">
        <f>IF(($AI$9/SIN($AI$8))&gt;($E$22-$G$22),($E$22-$G$22-$AI$14),($AI$9/SIN($AI$8))-$AI$14)</f>
        <v>#VALUE!</v>
      </c>
      <c r="AJ13" s="325" t="s">
        <v>4</v>
      </c>
      <c r="AK13" s="134"/>
      <c r="AL13" s="134"/>
      <c r="AM13" s="134"/>
      <c r="AN13" s="134"/>
      <c r="AO13" s="134"/>
      <c r="AP13" s="316"/>
      <c r="AR13" s="343"/>
      <c r="AS13" s="345" t="s">
        <v>632</v>
      </c>
      <c r="AT13" s="346" t="e">
        <f>IF(($AT$9/SIN($AT$8))&gt;($E$22-$G$22),($E$22-$G$22-$AT$14),($AT$9/SIN($AT$8))-$AT$14)</f>
        <v>#VALUE!</v>
      </c>
      <c r="AU13" s="325" t="s">
        <v>4</v>
      </c>
      <c r="AV13" s="134"/>
      <c r="AW13" s="134"/>
      <c r="AX13" s="134"/>
      <c r="AY13" s="134"/>
      <c r="AZ13" s="134"/>
      <c r="BA13" s="316"/>
      <c r="BC13" s="545">
        <v>4</v>
      </c>
      <c r="BD13" s="344">
        <f t="shared" si="5"/>
        <v>0</v>
      </c>
      <c r="BE13" s="330" t="e">
        <f t="shared" si="2"/>
        <v>#DIV/0!</v>
      </c>
      <c r="BF13" s="330" t="e">
        <f t="shared" si="6"/>
        <v>#DIV/0!</v>
      </c>
      <c r="BG13" s="330" t="e">
        <f t="shared" si="7"/>
        <v>#DIV/0!</v>
      </c>
      <c r="BH13" s="330" t="e">
        <f t="shared" si="3"/>
        <v>#DIV/0!</v>
      </c>
      <c r="BI13" s="330" t="e">
        <f t="shared" si="4"/>
        <v>#DIV/0!</v>
      </c>
      <c r="BJ13" s="330" t="e">
        <f t="shared" si="8"/>
        <v>#DIV/0!</v>
      </c>
      <c r="BK13" s="330" t="e">
        <f t="shared" si="9"/>
        <v>#DIV/0!</v>
      </c>
      <c r="BL13" s="330" t="e">
        <f t="shared" si="10"/>
        <v>#DIV/0!</v>
      </c>
      <c r="BM13" s="330" t="e">
        <f t="shared" si="11"/>
        <v>#DIV/0!</v>
      </c>
      <c r="BN13" s="330" t="e">
        <f t="shared" si="12"/>
        <v>#DIV/0!</v>
      </c>
      <c r="BO13" s="432" t="e">
        <f t="shared" si="13"/>
        <v>#DIV/0!</v>
      </c>
    </row>
    <row r="14" spans="1:67" ht="16.5" thickBot="1">
      <c r="A14" s="254" t="s">
        <v>545</v>
      </c>
      <c r="B14" s="258"/>
      <c r="C14" s="208"/>
      <c r="D14" s="667"/>
      <c r="E14" s="673"/>
      <c r="F14" s="673"/>
      <c r="G14" s="673"/>
      <c r="H14" s="673"/>
      <c r="I14" s="673"/>
      <c r="J14" s="673"/>
      <c r="K14" s="421"/>
      <c r="L14" s="1060" t="s">
        <v>969</v>
      </c>
      <c r="M14" s="1061"/>
      <c r="N14" s="1064" t="s">
        <v>981</v>
      </c>
      <c r="O14" s="1065"/>
      <c r="P14" s="1065"/>
      <c r="Q14" s="1066"/>
      <c r="R14" s="599" t="s">
        <v>576</v>
      </c>
      <c r="S14" s="466" t="s">
        <v>564</v>
      </c>
      <c r="T14" s="346">
        <f>IF($F$25="",0,IF($D$25="Root collar: Bottom",$F$25,$T$13-((($E$22-$G$22)*$M$19)*$M$17)))</f>
        <v>0</v>
      </c>
      <c r="U14" s="600">
        <f>IF($G$25="",$C$13,IF($D$25="Root collar: Bottom",$G$25,$U$13+(($E$22-$G$22)*-$M$20)))</f>
        <v>0</v>
      </c>
      <c r="W14" s="364" t="s">
        <v>564</v>
      </c>
      <c r="X14" s="336">
        <f>$T$13-((($E$22-$G$22)*$M$19)*$M$17)</f>
        <v>0</v>
      </c>
      <c r="Y14" s="362" t="str">
        <f t="shared" si="0"/>
        <v>OK</v>
      </c>
      <c r="Z14" s="336">
        <f>$U$13+(($E$22-$G$22)*-$M$20)</f>
        <v>0</v>
      </c>
      <c r="AA14" s="368" t="str">
        <f t="shared" si="1"/>
        <v>OK</v>
      </c>
      <c r="AC14" s="963" t="s">
        <v>562</v>
      </c>
      <c r="AD14" s="966"/>
      <c r="AE14" s="967"/>
      <c r="AG14" s="343"/>
      <c r="AH14" s="345" t="s">
        <v>637</v>
      </c>
      <c r="AI14" s="346" t="e">
        <f>IF($AI$11&gt;=$F$22,(($AI$9-($AI$11/(COS($AI$8))))/SIN($AI$8))+($AI$11*TAN($AI$8)),0)</f>
        <v>#VALUE!</v>
      </c>
      <c r="AJ14" s="325" t="s">
        <v>4</v>
      </c>
      <c r="AK14" s="134"/>
      <c r="AL14" s="134"/>
      <c r="AM14" s="134"/>
      <c r="AN14" s="134"/>
      <c r="AO14" s="134"/>
      <c r="AP14" s="316"/>
      <c r="AR14" s="343"/>
      <c r="AS14" s="345" t="s">
        <v>637</v>
      </c>
      <c r="AT14" s="346" t="e">
        <f>IF($AT$11&gt;=$F$22,(($AT$9-($AT$11/(COS($AT$8))))/SIN($AT$8))+($AT$11*TAN($AT$8)),0)</f>
        <v>#VALUE!</v>
      </c>
      <c r="AU14" s="325" t="s">
        <v>4</v>
      </c>
      <c r="AV14" s="134"/>
      <c r="AW14" s="134"/>
      <c r="AX14" s="134"/>
      <c r="AY14" s="134"/>
      <c r="AZ14" s="134"/>
      <c r="BA14" s="316"/>
      <c r="BC14" s="545">
        <v>5</v>
      </c>
      <c r="BD14" s="344">
        <f t="shared" si="5"/>
        <v>0</v>
      </c>
      <c r="BE14" s="330" t="e">
        <f t="shared" si="2"/>
        <v>#DIV/0!</v>
      </c>
      <c r="BF14" s="330" t="e">
        <f t="shared" si="6"/>
        <v>#DIV/0!</v>
      </c>
      <c r="BG14" s="330" t="e">
        <f t="shared" si="7"/>
        <v>#DIV/0!</v>
      </c>
      <c r="BH14" s="330" t="e">
        <f t="shared" si="3"/>
        <v>#DIV/0!</v>
      </c>
      <c r="BI14" s="330" t="e">
        <f t="shared" si="4"/>
        <v>#DIV/0!</v>
      </c>
      <c r="BJ14" s="330" t="e">
        <f t="shared" si="8"/>
        <v>#DIV/0!</v>
      </c>
      <c r="BK14" s="330" t="e">
        <f t="shared" si="9"/>
        <v>#DIV/0!</v>
      </c>
      <c r="BL14" s="330" t="e">
        <f t="shared" si="10"/>
        <v>#DIV/0!</v>
      </c>
      <c r="BM14" s="330" t="e">
        <f t="shared" si="11"/>
        <v>#DIV/0!</v>
      </c>
      <c r="BN14" s="330" t="e">
        <f t="shared" si="12"/>
        <v>#DIV/0!</v>
      </c>
      <c r="BO14" s="432" t="e">
        <f t="shared" si="13"/>
        <v>#DIV/0!</v>
      </c>
    </row>
    <row r="15" spans="1:67" ht="16.5" thickBot="1">
      <c r="A15" s="254" t="s">
        <v>544</v>
      </c>
      <c r="B15" s="256"/>
      <c r="C15" s="260"/>
      <c r="D15" s="667"/>
      <c r="E15" s="673"/>
      <c r="F15" s="673"/>
      <c r="G15" s="673"/>
      <c r="H15" s="673"/>
      <c r="I15" s="673"/>
      <c r="J15" s="673"/>
      <c r="K15" s="421" t="str">
        <f>IF(AND($B$6="Rootwad",$D$22="No"),"ERROR - Rootwad structure type should have a rootwad","")</f>
        <v/>
      </c>
      <c r="L15" s="134"/>
      <c r="R15" s="599" t="s">
        <v>577</v>
      </c>
      <c r="S15" s="602" t="s">
        <v>567</v>
      </c>
      <c r="T15" s="347">
        <f>IF($F$25="",0,IF($D$25="Rootwad: Bottom",$F$25,IF($D$22="No",$T$14,$T$14-(($G$22*$M$19)*$M$17)-(((($H$22-$F$22)/2)*-$M$20)*$M$17))))</f>
        <v>0</v>
      </c>
      <c r="U15" s="601">
        <f>IF($G$25="",$C$13,IF($D$25="Rootwad: Bottom",$G$25,IF($D$22="No",$U$14,$U$14+($G$22*-$M$20)-((($H$22-$F$22)/2)*$M$19))))</f>
        <v>0</v>
      </c>
      <c r="W15" s="365" t="s">
        <v>567</v>
      </c>
      <c r="X15" s="351">
        <f>IF($D$22="No",$T$14,$T$14-(($G$22*$M$19)*$M$17)-(((($H$22-$F$22)/2)*-$M$20)*$M$17))</f>
        <v>0</v>
      </c>
      <c r="Y15" s="369" t="str">
        <f t="shared" si="0"/>
        <v>OK</v>
      </c>
      <c r="Z15" s="351">
        <f>IF($D$22="No",$U$14,$U$14+($G$22*-$M$20)-((($H$22-$F$22)/2)*$M$19))</f>
        <v>0</v>
      </c>
      <c r="AA15" s="370" t="str">
        <f t="shared" si="1"/>
        <v>OK</v>
      </c>
      <c r="AC15" s="364" t="s">
        <v>478</v>
      </c>
      <c r="AD15" s="371" t="str">
        <f>IF(OR($B$13="",$B$14=""),"",AVERAGE($B$13:$B$14))</f>
        <v/>
      </c>
      <c r="AE15" s="372" t="str">
        <f>IF(OR($C$13="",$C$14=""),"",AVERAGE($C$13:$C$14))</f>
        <v/>
      </c>
      <c r="AG15" s="343"/>
      <c r="AH15" s="346" t="s">
        <v>612</v>
      </c>
      <c r="AI15" s="324" t="e">
        <f>IF(AND(($AI$11-$AI$7)=1,$AH$17="Case 1"),PI(),ACOS(1-($AI$11/$AI$7)))</f>
        <v>#VALUE!</v>
      </c>
      <c r="AJ15" s="325" t="s">
        <v>592</v>
      </c>
      <c r="AK15" s="134"/>
      <c r="AL15" s="134"/>
      <c r="AM15" s="134"/>
      <c r="AN15" s="134"/>
      <c r="AO15" s="134"/>
      <c r="AP15" s="316"/>
      <c r="AR15" s="343"/>
      <c r="AS15" s="346" t="s">
        <v>612</v>
      </c>
      <c r="AT15" s="324" t="e">
        <f>ACOS(1-($AT$11/$AT$7))</f>
        <v>#VALUE!</v>
      </c>
      <c r="AU15" s="325" t="s">
        <v>592</v>
      </c>
      <c r="AV15" s="134"/>
      <c r="AW15" s="134"/>
      <c r="AX15" s="134"/>
      <c r="AY15" s="134"/>
      <c r="AZ15" s="134"/>
      <c r="BA15" s="316"/>
      <c r="BC15" s="545">
        <v>6</v>
      </c>
      <c r="BD15" s="344">
        <f t="shared" si="5"/>
        <v>0</v>
      </c>
      <c r="BE15" s="330" t="e">
        <f t="shared" si="2"/>
        <v>#DIV/0!</v>
      </c>
      <c r="BF15" s="330" t="e">
        <f t="shared" si="6"/>
        <v>#DIV/0!</v>
      </c>
      <c r="BG15" s="330" t="e">
        <f t="shared" si="7"/>
        <v>#DIV/0!</v>
      </c>
      <c r="BH15" s="330" t="e">
        <f t="shared" si="3"/>
        <v>#DIV/0!</v>
      </c>
      <c r="BI15" s="330" t="e">
        <f t="shared" si="4"/>
        <v>#DIV/0!</v>
      </c>
      <c r="BJ15" s="330" t="e">
        <f t="shared" si="8"/>
        <v>#DIV/0!</v>
      </c>
      <c r="BK15" s="330" t="e">
        <f t="shared" si="9"/>
        <v>#DIV/0!</v>
      </c>
      <c r="BL15" s="330" t="e">
        <f t="shared" si="10"/>
        <v>#DIV/0!</v>
      </c>
      <c r="BM15" s="330" t="e">
        <f t="shared" si="11"/>
        <v>#DIV/0!</v>
      </c>
      <c r="BN15" s="330" t="e">
        <f t="shared" si="12"/>
        <v>#DIV/0!</v>
      </c>
      <c r="BO15" s="432" t="e">
        <f t="shared" si="13"/>
        <v>#DIV/0!</v>
      </c>
    </row>
    <row r="16" spans="1:67" ht="16.5" thickBot="1">
      <c r="A16" s="254" t="s">
        <v>543</v>
      </c>
      <c r="B16" s="259"/>
      <c r="C16" s="208"/>
      <c r="D16" s="667"/>
      <c r="E16" s="673"/>
      <c r="F16" s="673"/>
      <c r="G16" s="673"/>
      <c r="H16" s="673"/>
      <c r="I16" s="673"/>
      <c r="J16" s="673"/>
      <c r="K16" s="421" t="str">
        <f>IF(OR($N$52="",$F$25="",$G$25=""),"",IF(AND($B$6="Rootwad",$N$52&lt;&gt;"Exposed in stream"),"CHECK - Rootwad structure typically has exposed rootwad",""))</f>
        <v/>
      </c>
      <c r="T16" s="273"/>
      <c r="U16" s="273"/>
      <c r="X16" s="264"/>
      <c r="Y16" s="16"/>
      <c r="AC16" s="365" t="s">
        <v>477</v>
      </c>
      <c r="AD16" s="373" t="str">
        <f>IF(OR($B$18="",$B$19=""),"",AVERAGE($B$18:$B$19))</f>
        <v/>
      </c>
      <c r="AE16" s="374" t="str">
        <f>IF(OR($C$18="",$C$19=""),"",AVERAGE($C$18:$C$19))</f>
        <v/>
      </c>
      <c r="AG16" s="317"/>
      <c r="AH16" s="346" t="s">
        <v>613</v>
      </c>
      <c r="AI16" s="324" t="e">
        <f>IF($AI$12="","",ACOS(1-($AI$12/$AI$7)))</f>
        <v>#DIV/0!</v>
      </c>
      <c r="AJ16" s="325" t="s">
        <v>592</v>
      </c>
      <c r="AK16" s="134"/>
      <c r="AL16" s="134"/>
      <c r="AM16" s="134"/>
      <c r="AN16" s="134"/>
      <c r="AO16" s="134"/>
      <c r="AP16" s="316"/>
      <c r="AR16" s="317"/>
      <c r="AS16" s="346" t="s">
        <v>613</v>
      </c>
      <c r="AT16" s="324" t="e">
        <f>IF($AT$12="","",ACOS(1-($AT$12/$AT$7)))</f>
        <v>#DIV/0!</v>
      </c>
      <c r="AU16" s="325" t="s">
        <v>592</v>
      </c>
      <c r="AV16" s="134"/>
      <c r="AW16" s="134"/>
      <c r="AX16" s="134"/>
      <c r="AY16" s="134"/>
      <c r="AZ16" s="134"/>
      <c r="BA16" s="316"/>
      <c r="BC16" s="545">
        <v>7</v>
      </c>
      <c r="BD16" s="344">
        <f t="shared" si="5"/>
        <v>0</v>
      </c>
      <c r="BE16" s="330" t="e">
        <f t="shared" si="2"/>
        <v>#DIV/0!</v>
      </c>
      <c r="BF16" s="330" t="e">
        <f t="shared" si="6"/>
        <v>#DIV/0!</v>
      </c>
      <c r="BG16" s="330" t="e">
        <f t="shared" si="7"/>
        <v>#DIV/0!</v>
      </c>
      <c r="BH16" s="330" t="e">
        <f t="shared" si="3"/>
        <v>#DIV/0!</v>
      </c>
      <c r="BI16" s="330" t="e">
        <f t="shared" si="4"/>
        <v>#DIV/0!</v>
      </c>
      <c r="BJ16" s="330" t="e">
        <f t="shared" si="8"/>
        <v>#DIV/0!</v>
      </c>
      <c r="BK16" s="330" t="e">
        <f t="shared" si="9"/>
        <v>#DIV/0!</v>
      </c>
      <c r="BL16" s="330" t="e">
        <f t="shared" si="10"/>
        <v>#DIV/0!</v>
      </c>
      <c r="BM16" s="330" t="e">
        <f t="shared" si="11"/>
        <v>#DIV/0!</v>
      </c>
      <c r="BN16" s="330" t="e">
        <f t="shared" si="12"/>
        <v>#DIV/0!</v>
      </c>
      <c r="BO16" s="432" t="e">
        <f t="shared" si="13"/>
        <v>#DIV/0!</v>
      </c>
    </row>
    <row r="17" spans="1:67" ht="17.45" customHeight="1" thickBot="1">
      <c r="A17" s="254" t="s">
        <v>546</v>
      </c>
      <c r="B17" s="256"/>
      <c r="C17" s="261"/>
      <c r="D17" s="667"/>
      <c r="E17" s="673"/>
      <c r="F17" s="673"/>
      <c r="G17" s="673"/>
      <c r="H17" s="673"/>
      <c r="I17" s="673"/>
      <c r="J17" s="673"/>
      <c r="K17" s="421"/>
      <c r="L17" s="385" t="s">
        <v>659</v>
      </c>
      <c r="M17" s="386">
        <f>IF($B$25="",0,COS(($B$25+90)*PI()/180))</f>
        <v>0</v>
      </c>
      <c r="R17" s="253"/>
      <c r="S17" s="963" t="s">
        <v>649</v>
      </c>
      <c r="T17" s="966"/>
      <c r="U17" s="967"/>
      <c r="AG17" s="488" t="s">
        <v>468</v>
      </c>
      <c r="AH17" s="487" t="str">
        <f>IF(AND($AA$21="Wet",$AA$22="Wet",$AA$23="Wet",$AA$24="Wet"),"Log is completely submerged",IF(AND($AA$21="Dry",$AA$22="Dry",OR(AND($AA$23="Dry",$AA$24="Wet"),AND($AA$24="Dry",$AA$23="Wet"))),"Case 1",IF(OR(AND($AA$21="Wet",$AA$24="Wet",$AA$22="Dry",$AA$23="Dry"),AND($AA$22="Wet",$AA$23="Wet",$AA$21="Dry",$AA$24="Dry")),"Case 2",IF(AND($AA$22="Dry",$AA$23="Wet",$AA$21="Dry",$AA$24="Wet"),"Case 3",IF(OR(AND($AA$21="Dry",$AA$22="Wet",$AA$23="Wet",$AA$24="Wet"),AND($AA$21="Wet",$AA$22="Dry",$AA$23="Wet",$AA$24="Wet")),"Case 4","Stem is Dry")))))</f>
        <v>Stem is Dry</v>
      </c>
      <c r="AI17" s="315"/>
      <c r="AJ17" s="134"/>
      <c r="AK17" s="318" t="s">
        <v>599</v>
      </c>
      <c r="AL17" s="489">
        <f>PI()*(($F$22/2)^2)*($E$22-$G$22)</f>
        <v>0</v>
      </c>
      <c r="AM17" s="325" t="s">
        <v>614</v>
      </c>
      <c r="AN17" s="134"/>
      <c r="AO17" s="134"/>
      <c r="AP17" s="316"/>
      <c r="AR17" s="488" t="s">
        <v>468</v>
      </c>
      <c r="AS17" s="487" t="str">
        <f>IF(AND($Y$21="Wet",$Y$22="Wet",$Y$23="Wet",$Y$24="Wet"),"Log is completely submerged",IF(AND($Y$21="Dry",$Y$22="Dry",OR(AND($Y$23="Dry",$Y$24="Wet"),AND($Y$24="Dry",$Y$23="Wet"))),"Case 1",IF(OR(AND($Y$21="Wet",$Y$24="Wet",$Y$22="Dry",$Y$23="Dry"),AND($Y$22="Wet",$Y$23="Wet",$Y$21="Dry",$Y$24="Dry")),"Case 2",IF(AND($Y$22="Dry",$Y$23="Wet",$Y$21="Dry",$Y$24="Wet"),"Case 3",IF(OR(AND($Y$21="Dry",$Y$22="Wet",$Y$23="Wet",$Y$24="Wet"),AND($Y$21="Wet",$Y$22="Dry",$Y$23="Wet",$Y$24="Wet")),"Case 4","Stem is Dry")))))</f>
        <v>Stem is Dry</v>
      </c>
      <c r="AT17" s="315"/>
      <c r="AU17" s="134"/>
      <c r="AV17" s="318" t="s">
        <v>599</v>
      </c>
      <c r="AW17" s="489">
        <f>PI()*(($F$22/2)^2)*($E$22-$G$22)</f>
        <v>0</v>
      </c>
      <c r="AX17" s="325" t="s">
        <v>614</v>
      </c>
      <c r="AY17" s="134"/>
      <c r="AZ17" s="134"/>
      <c r="BA17" s="316"/>
      <c r="BC17" s="545">
        <v>8</v>
      </c>
      <c r="BD17" s="344">
        <f t="shared" si="5"/>
        <v>0</v>
      </c>
      <c r="BE17" s="330" t="e">
        <f t="shared" si="2"/>
        <v>#DIV/0!</v>
      </c>
      <c r="BF17" s="330" t="e">
        <f t="shared" si="6"/>
        <v>#DIV/0!</v>
      </c>
      <c r="BG17" s="330" t="e">
        <f t="shared" si="7"/>
        <v>#DIV/0!</v>
      </c>
      <c r="BH17" s="330" t="e">
        <f t="shared" si="3"/>
        <v>#DIV/0!</v>
      </c>
      <c r="BI17" s="330" t="e">
        <f t="shared" si="4"/>
        <v>#DIV/0!</v>
      </c>
      <c r="BJ17" s="330" t="e">
        <f t="shared" si="8"/>
        <v>#DIV/0!</v>
      </c>
      <c r="BK17" s="330" t="e">
        <f t="shared" si="9"/>
        <v>#DIV/0!</v>
      </c>
      <c r="BL17" s="330" t="e">
        <f t="shared" si="10"/>
        <v>#DIV/0!</v>
      </c>
      <c r="BM17" s="330" t="e">
        <f t="shared" si="11"/>
        <v>#DIV/0!</v>
      </c>
      <c r="BN17" s="330" t="e">
        <f t="shared" si="12"/>
        <v>#DIV/0!</v>
      </c>
      <c r="BO17" s="432" t="e">
        <f t="shared" si="13"/>
        <v>#DIV/0!</v>
      </c>
    </row>
    <row r="18" spans="1:67">
      <c r="A18" s="254" t="s">
        <v>547</v>
      </c>
      <c r="B18" s="256"/>
      <c r="C18" s="208"/>
      <c r="D18" s="667"/>
      <c r="E18" s="657"/>
      <c r="F18" s="667"/>
      <c r="G18" s="668"/>
      <c r="H18" s="674"/>
      <c r="I18" s="675"/>
      <c r="J18" s="671"/>
      <c r="K18" s="421"/>
      <c r="L18" s="387" t="s">
        <v>660</v>
      </c>
      <c r="M18" s="388">
        <f>IF($B$25="",0,SIN(($B$25+90)*PI()/180))</f>
        <v>0</v>
      </c>
      <c r="S18" s="317"/>
      <c r="T18" s="357" t="s">
        <v>541</v>
      </c>
      <c r="U18" s="358" t="s">
        <v>542</v>
      </c>
      <c r="W18" s="963" t="s">
        <v>837</v>
      </c>
      <c r="X18" s="964"/>
      <c r="Y18" s="964"/>
      <c r="Z18" s="964"/>
      <c r="AA18" s="964"/>
      <c r="AB18" s="965"/>
      <c r="AG18" s="982" t="s">
        <v>589</v>
      </c>
      <c r="AH18" s="983"/>
      <c r="AI18" s="315"/>
      <c r="AJ18" s="315"/>
      <c r="AK18" s="315"/>
      <c r="AL18" s="134"/>
      <c r="AM18" s="134"/>
      <c r="AN18" s="134"/>
      <c r="AO18" s="134"/>
      <c r="AP18" s="316"/>
      <c r="AR18" s="982" t="s">
        <v>589</v>
      </c>
      <c r="AS18" s="983"/>
      <c r="AT18" s="315"/>
      <c r="AU18" s="315"/>
      <c r="AV18" s="315"/>
      <c r="AW18" s="134"/>
      <c r="AX18" s="134"/>
      <c r="AY18" s="134"/>
      <c r="AZ18" s="134"/>
      <c r="BA18" s="316"/>
      <c r="BC18" s="545">
        <v>9</v>
      </c>
      <c r="BD18" s="344">
        <f t="shared" si="5"/>
        <v>0</v>
      </c>
      <c r="BE18" s="330" t="e">
        <f t="shared" si="2"/>
        <v>#DIV/0!</v>
      </c>
      <c r="BF18" s="330" t="e">
        <f t="shared" si="6"/>
        <v>#DIV/0!</v>
      </c>
      <c r="BG18" s="330" t="e">
        <f t="shared" si="7"/>
        <v>#DIV/0!</v>
      </c>
      <c r="BH18" s="330" t="e">
        <f t="shared" si="3"/>
        <v>#DIV/0!</v>
      </c>
      <c r="BI18" s="330" t="e">
        <f t="shared" si="4"/>
        <v>#DIV/0!</v>
      </c>
      <c r="BJ18" s="330" t="e">
        <f t="shared" si="8"/>
        <v>#DIV/0!</v>
      </c>
      <c r="BK18" s="330" t="e">
        <f t="shared" si="9"/>
        <v>#DIV/0!</v>
      </c>
      <c r="BL18" s="330" t="e">
        <f t="shared" si="10"/>
        <v>#DIV/0!</v>
      </c>
      <c r="BM18" s="330" t="e">
        <f t="shared" si="11"/>
        <v>#DIV/0!</v>
      </c>
      <c r="BN18" s="330" t="e">
        <f t="shared" si="12"/>
        <v>#DIV/0!</v>
      </c>
      <c r="BO18" s="432" t="e">
        <f t="shared" si="13"/>
        <v>#DIV/0!</v>
      </c>
    </row>
    <row r="19" spans="1:67" ht="16.5" thickBot="1">
      <c r="A19" s="162" t="s">
        <v>548</v>
      </c>
      <c r="B19" s="246"/>
      <c r="C19" s="211"/>
      <c r="D19" s="657"/>
      <c r="E19" s="657"/>
      <c r="F19" s="657"/>
      <c r="G19" s="657"/>
      <c r="H19" s="657"/>
      <c r="I19" s="657"/>
      <c r="J19" s="657"/>
      <c r="K19" s="421" t="str">
        <f>IF($C$25="","",IF(OR($C$25&gt;=90,$C$25&lt;=-90),"ERROR - Angle of tilt must be between (-)89.9 and (+)89.9 deg",""))</f>
        <v/>
      </c>
      <c r="L19" s="387" t="s">
        <v>661</v>
      </c>
      <c r="M19" s="388">
        <f>IF($C$25="",0,COS($C$25*PI()/180))</f>
        <v>0</v>
      </c>
      <c r="S19" s="364" t="s">
        <v>584</v>
      </c>
      <c r="T19" s="336">
        <f>IF($T$15="","",$T$15)</f>
        <v>0</v>
      </c>
      <c r="U19" s="359">
        <f>IF($U$15="",$C$13,$U$15)</f>
        <v>0</v>
      </c>
      <c r="W19" s="317"/>
      <c r="X19" s="357" t="s">
        <v>651</v>
      </c>
      <c r="Y19" s="357" t="s">
        <v>836</v>
      </c>
      <c r="Z19" s="323" t="s">
        <v>586</v>
      </c>
      <c r="AA19" s="357" t="s">
        <v>844</v>
      </c>
      <c r="AB19" s="363" t="s">
        <v>835</v>
      </c>
      <c r="AG19" s="317"/>
      <c r="AH19" s="134"/>
      <c r="AI19" s="318" t="s">
        <v>588</v>
      </c>
      <c r="AJ19" s="319" t="s">
        <v>636</v>
      </c>
      <c r="AK19" s="319"/>
      <c r="AL19" s="320"/>
      <c r="AM19" s="320"/>
      <c r="AN19" s="134"/>
      <c r="AO19" s="134"/>
      <c r="AP19" s="316"/>
      <c r="AR19" s="317"/>
      <c r="AS19" s="134"/>
      <c r="AT19" s="318" t="s">
        <v>588</v>
      </c>
      <c r="AU19" s="319" t="s">
        <v>636</v>
      </c>
      <c r="AV19" s="319"/>
      <c r="AW19" s="320"/>
      <c r="AX19" s="320"/>
      <c r="AY19" s="134"/>
      <c r="AZ19" s="134"/>
      <c r="BA19" s="316"/>
      <c r="BC19" s="545">
        <v>10</v>
      </c>
      <c r="BD19" s="344">
        <f t="shared" si="5"/>
        <v>0</v>
      </c>
      <c r="BE19" s="330" t="e">
        <f t="shared" si="2"/>
        <v>#DIV/0!</v>
      </c>
      <c r="BF19" s="330" t="e">
        <f t="shared" si="6"/>
        <v>#DIV/0!</v>
      </c>
      <c r="BG19" s="330" t="e">
        <f t="shared" si="7"/>
        <v>#DIV/0!</v>
      </c>
      <c r="BH19" s="330" t="e">
        <f t="shared" si="3"/>
        <v>#DIV/0!</v>
      </c>
      <c r="BI19" s="330" t="e">
        <f t="shared" si="4"/>
        <v>#DIV/0!</v>
      </c>
      <c r="BJ19" s="330" t="e">
        <f t="shared" si="8"/>
        <v>#DIV/0!</v>
      </c>
      <c r="BK19" s="330" t="e">
        <f t="shared" si="9"/>
        <v>#DIV/0!</v>
      </c>
      <c r="BL19" s="330" t="e">
        <f t="shared" si="10"/>
        <v>#DIV/0!</v>
      </c>
      <c r="BM19" s="330" t="e">
        <f t="shared" si="11"/>
        <v>#DIV/0!</v>
      </c>
      <c r="BN19" s="330" t="e">
        <f t="shared" si="12"/>
        <v>#DIV/0!</v>
      </c>
      <c r="BO19" s="432" t="e">
        <f t="shared" si="13"/>
        <v>#DIV/0!</v>
      </c>
    </row>
    <row r="20" spans="1:67" ht="17.45" customHeight="1" thickBot="1">
      <c r="A20" s="657"/>
      <c r="B20" s="657"/>
      <c r="C20" s="657"/>
      <c r="D20" s="657"/>
      <c r="E20" s="657"/>
      <c r="F20" s="657"/>
      <c r="G20" s="657"/>
      <c r="H20" s="657"/>
      <c r="I20" s="657"/>
      <c r="J20" s="657"/>
      <c r="K20" s="421" t="str">
        <f>IF(OR($B$25="",$A$6=""),"",IF(OR($B$25&gt;360,$B$25&lt;-180),"ERROR - Orientation angle must be (-)180 to (+)360 deg",""))</f>
        <v/>
      </c>
      <c r="L20" s="387" t="s">
        <v>662</v>
      </c>
      <c r="M20" s="388">
        <f>IF($C$25="",0,SIN($C$25*PI()/180))</f>
        <v>0</v>
      </c>
      <c r="S20" s="364" t="s">
        <v>556</v>
      </c>
      <c r="T20" s="336">
        <f>IF($T$19="","",IF($D$22="No",$T$19+((SIN(45*PI()/180))*$M$18),(($T$19+$T$21)/2)+((SIN(45*PI()/180))*$M$18)))</f>
        <v>0</v>
      </c>
      <c r="U20" s="359">
        <f>IF($U$15="",$C$13,($U$21+$U$19)/2)</f>
        <v>0</v>
      </c>
      <c r="W20" s="364" t="s">
        <v>566</v>
      </c>
      <c r="X20" s="323" t="s">
        <v>572</v>
      </c>
      <c r="Y20" s="336" t="str">
        <f t="shared" ref="Y20:Y25" si="14">IF($U10&lt;$C$16,"Wet","Dry")</f>
        <v>Dry</v>
      </c>
      <c r="Z20" s="336">
        <f t="shared" ref="Z20:Z25" si="15">IF($C$16&lt;U10,0,$C$16-U10)</f>
        <v>0</v>
      </c>
      <c r="AA20" s="336" t="str">
        <f t="shared" ref="AA20:AA25" si="16">IF($U10&lt;$AE$8,"Wet","Dry")</f>
        <v>Dry</v>
      </c>
      <c r="AB20" s="359">
        <f t="shared" ref="AB20:AB25" si="17">IF(U10&gt;$AE$8,0,$AE$8-U10)</f>
        <v>0</v>
      </c>
      <c r="AG20" s="317"/>
      <c r="AH20" s="134"/>
      <c r="AI20" s="321" t="s">
        <v>594</v>
      </c>
      <c r="AJ20" s="319" t="s">
        <v>600</v>
      </c>
      <c r="AK20" s="315"/>
      <c r="AL20" s="320"/>
      <c r="AM20" s="320"/>
      <c r="AN20" s="134"/>
      <c r="AO20" s="38"/>
      <c r="AP20" s="322"/>
      <c r="AR20" s="317"/>
      <c r="AS20" s="134"/>
      <c r="AT20" s="321" t="s">
        <v>594</v>
      </c>
      <c r="AU20" s="319" t="s">
        <v>600</v>
      </c>
      <c r="AV20" s="315"/>
      <c r="AW20" s="320"/>
      <c r="AX20" s="320"/>
      <c r="AY20" s="134"/>
      <c r="AZ20" s="38"/>
      <c r="BA20" s="322"/>
      <c r="BC20" s="545">
        <v>11</v>
      </c>
      <c r="BD20" s="344">
        <f t="shared" si="5"/>
        <v>0</v>
      </c>
      <c r="BE20" s="330" t="e">
        <f t="shared" si="2"/>
        <v>#DIV/0!</v>
      </c>
      <c r="BF20" s="330" t="e">
        <f t="shared" si="6"/>
        <v>#DIV/0!</v>
      </c>
      <c r="BG20" s="330" t="e">
        <f t="shared" si="7"/>
        <v>#DIV/0!</v>
      </c>
      <c r="BH20" s="330" t="e">
        <f t="shared" si="3"/>
        <v>#DIV/0!</v>
      </c>
      <c r="BI20" s="330" t="e">
        <f t="shared" si="4"/>
        <v>#DIV/0!</v>
      </c>
      <c r="BJ20" s="330" t="e">
        <f t="shared" si="8"/>
        <v>#DIV/0!</v>
      </c>
      <c r="BK20" s="330" t="e">
        <f t="shared" si="9"/>
        <v>#DIV/0!</v>
      </c>
      <c r="BL20" s="330" t="e">
        <f t="shared" si="10"/>
        <v>#DIV/0!</v>
      </c>
      <c r="BM20" s="330" t="e">
        <f t="shared" si="11"/>
        <v>#DIV/0!</v>
      </c>
      <c r="BN20" s="330" t="e">
        <f t="shared" si="12"/>
        <v>#DIV/0!</v>
      </c>
      <c r="BO20" s="432" t="e">
        <f t="shared" si="13"/>
        <v>#DIV/0!</v>
      </c>
    </row>
    <row r="21" spans="1:67" ht="15.75" thickBot="1">
      <c r="A21" s="1054" t="s">
        <v>326</v>
      </c>
      <c r="B21" s="1055"/>
      <c r="C21" s="1056"/>
      <c r="D21" s="164" t="s">
        <v>15</v>
      </c>
      <c r="E21" s="163" t="s">
        <v>481</v>
      </c>
      <c r="F21" s="163" t="s">
        <v>482</v>
      </c>
      <c r="G21" s="168" t="s">
        <v>483</v>
      </c>
      <c r="H21" s="168" t="s">
        <v>484</v>
      </c>
      <c r="I21" s="165" t="s">
        <v>485</v>
      </c>
      <c r="J21" s="166" t="s">
        <v>486</v>
      </c>
      <c r="K21" s="421" t="str">
        <f>IF(AND($D$22="No",OR($D$25="Rootwad: Crown",$D$25="Rootwad: Bottom")),"ERROR - No rootwad, define a different starting point","")</f>
        <v/>
      </c>
      <c r="L21" s="389" t="s">
        <v>663</v>
      </c>
      <c r="M21" s="390">
        <f>IF($E$22="",0,ROUND((-ATAN(((($H$22-$F$22)/2))/$E$22)*180/PI()),1))</f>
        <v>0</v>
      </c>
      <c r="S21" s="364" t="s">
        <v>557</v>
      </c>
      <c r="T21" s="336">
        <f>IF($T$19="","",IF($D$22="No",(($T$19+$T$23)/2)+($F$22/2*$M$18),(($T$19+$T$23)/2)+($H$22/2*$M$18)))</f>
        <v>0</v>
      </c>
      <c r="U21" s="359">
        <f>IF($U$15="",$C$13,($U$19+$U$23)/2)</f>
        <v>0</v>
      </c>
      <c r="W21" s="364" t="s">
        <v>565</v>
      </c>
      <c r="X21" s="323" t="s">
        <v>573</v>
      </c>
      <c r="Y21" s="336" t="str">
        <f t="shared" si="14"/>
        <v>Dry</v>
      </c>
      <c r="Z21" s="336">
        <f t="shared" si="15"/>
        <v>0</v>
      </c>
      <c r="AA21" s="336" t="str">
        <f t="shared" si="16"/>
        <v>Dry</v>
      </c>
      <c r="AB21" s="359">
        <f t="shared" si="17"/>
        <v>0</v>
      </c>
      <c r="AG21" s="317"/>
      <c r="AH21" s="134"/>
      <c r="AI21" s="323" t="s">
        <v>601</v>
      </c>
      <c r="AJ21" s="324" t="e">
        <f>($AI$13/$AI$11)*($AI$7^3)*(SIN($AI$15)-($AI$15*COS($AI$15))-((1/3)*(SIN($AI$15))^3))</f>
        <v>#VALUE!</v>
      </c>
      <c r="AK21" s="325" t="s">
        <v>614</v>
      </c>
      <c r="AL21" s="320"/>
      <c r="AM21" s="320"/>
      <c r="AN21" s="134"/>
      <c r="AO21" s="38"/>
      <c r="AP21" s="322"/>
      <c r="AR21" s="317"/>
      <c r="AS21" s="134"/>
      <c r="AT21" s="323" t="s">
        <v>601</v>
      </c>
      <c r="AU21" s="324" t="e">
        <f>($AT$13/$AT$11)*($AT$7^3)*(SIN($AT$15)-($AT$15*COS($AT$15))-((1/3)*(SIN($AT$15))^3))</f>
        <v>#VALUE!</v>
      </c>
      <c r="AV21" s="325" t="s">
        <v>614</v>
      </c>
      <c r="AW21" s="320"/>
      <c r="AX21" s="320"/>
      <c r="AY21" s="134"/>
      <c r="AZ21" s="38"/>
      <c r="BA21" s="322"/>
      <c r="BC21" s="545">
        <v>12</v>
      </c>
      <c r="BD21" s="344">
        <f t="shared" si="5"/>
        <v>0</v>
      </c>
      <c r="BE21" s="330" t="e">
        <f t="shared" si="2"/>
        <v>#DIV/0!</v>
      </c>
      <c r="BF21" s="330" t="e">
        <f t="shared" si="6"/>
        <v>#DIV/0!</v>
      </c>
      <c r="BG21" s="330" t="e">
        <f t="shared" si="7"/>
        <v>#DIV/0!</v>
      </c>
      <c r="BH21" s="330" t="e">
        <f t="shared" si="3"/>
        <v>#DIV/0!</v>
      </c>
      <c r="BI21" s="330" t="e">
        <f t="shared" si="4"/>
        <v>#DIV/0!</v>
      </c>
      <c r="BJ21" s="330" t="e">
        <f t="shared" si="8"/>
        <v>#DIV/0!</v>
      </c>
      <c r="BK21" s="330" t="e">
        <f t="shared" si="9"/>
        <v>#DIV/0!</v>
      </c>
      <c r="BL21" s="330" t="e">
        <f t="shared" si="10"/>
        <v>#DIV/0!</v>
      </c>
      <c r="BM21" s="330" t="e">
        <f t="shared" si="11"/>
        <v>#DIV/0!</v>
      </c>
      <c r="BN21" s="330" t="e">
        <f t="shared" si="12"/>
        <v>#DIV/0!</v>
      </c>
      <c r="BO21" s="432" t="e">
        <f t="shared" si="13"/>
        <v>#DIV/0!</v>
      </c>
    </row>
    <row r="22" spans="1:67" ht="13.5" thickBot="1">
      <c r="A22" s="1057"/>
      <c r="B22" s="1058"/>
      <c r="C22" s="1059"/>
      <c r="D22" s="265"/>
      <c r="E22" s="243"/>
      <c r="F22" s="220"/>
      <c r="G22" s="148">
        <f>IF(OR($D$22="No",$D$22=""),0,IF($F$22="",0,$F$22*LFRW))</f>
        <v>0</v>
      </c>
      <c r="H22" s="149">
        <f>IF(OR($D$22="No",$D$22=""),0,IF($F$22="",0,$F$22*DFRW))</f>
        <v>0</v>
      </c>
      <c r="I22" s="287" t="str">
        <f>IF($A$22="","",VLOOKUP($A$22,'5-Wood'!$B$8:$E$17,3,0))</f>
        <v/>
      </c>
      <c r="J22" s="150" t="str">
        <f>IF($A$22="","",VLOOKUP($A$22,'5-Wood'!$B$8:$E$17,4,0))</f>
        <v/>
      </c>
      <c r="S22" s="364" t="s">
        <v>579</v>
      </c>
      <c r="T22" s="336">
        <f>IF($T$19="","",IF($D$22="No",$T$23+((SIN(45*PI()/180))*$M$18),(($T$23+$T$21)/2)+((SIN(45*PI()/180))*$M$18)))</f>
        <v>0</v>
      </c>
      <c r="U22" s="359">
        <f>IF($U$15="",$C$13,($U$21+$U$23)/2)</f>
        <v>0</v>
      </c>
      <c r="W22" s="364" t="s">
        <v>568</v>
      </c>
      <c r="X22" s="323" t="s">
        <v>574</v>
      </c>
      <c r="Y22" s="336" t="str">
        <f t="shared" si="14"/>
        <v>Dry</v>
      </c>
      <c r="Z22" s="336">
        <f t="shared" si="15"/>
        <v>0</v>
      </c>
      <c r="AA22" s="336" t="str">
        <f t="shared" si="16"/>
        <v>Dry</v>
      </c>
      <c r="AB22" s="359">
        <f t="shared" si="17"/>
        <v>0</v>
      </c>
      <c r="AG22" s="317"/>
      <c r="AH22" s="134"/>
      <c r="AI22" s="315"/>
      <c r="AJ22" s="315"/>
      <c r="AK22" s="315"/>
      <c r="AL22" s="134"/>
      <c r="AM22" s="134"/>
      <c r="AN22" s="134"/>
      <c r="AO22" s="326"/>
      <c r="AP22" s="327"/>
      <c r="AR22" s="317"/>
      <c r="AS22" s="134"/>
      <c r="AT22" s="315"/>
      <c r="AU22" s="315"/>
      <c r="AV22" s="315"/>
      <c r="AW22" s="134"/>
      <c r="AX22" s="134"/>
      <c r="AY22" s="134"/>
      <c r="AZ22" s="326"/>
      <c r="BA22" s="327"/>
      <c r="BC22" s="545">
        <v>13</v>
      </c>
      <c r="BD22" s="344">
        <f t="shared" si="5"/>
        <v>0</v>
      </c>
      <c r="BE22" s="330" t="e">
        <f t="shared" si="2"/>
        <v>#DIV/0!</v>
      </c>
      <c r="BF22" s="330" t="e">
        <f t="shared" si="6"/>
        <v>#DIV/0!</v>
      </c>
      <c r="BG22" s="330" t="e">
        <f t="shared" si="7"/>
        <v>#DIV/0!</v>
      </c>
      <c r="BH22" s="330" t="e">
        <f t="shared" si="3"/>
        <v>#DIV/0!</v>
      </c>
      <c r="BI22" s="330" t="e">
        <f t="shared" si="4"/>
        <v>#DIV/0!</v>
      </c>
      <c r="BJ22" s="330" t="e">
        <f t="shared" si="8"/>
        <v>#DIV/0!</v>
      </c>
      <c r="BK22" s="330" t="e">
        <f t="shared" si="9"/>
        <v>#DIV/0!</v>
      </c>
      <c r="BL22" s="330" t="e">
        <f t="shared" si="10"/>
        <v>#DIV/0!</v>
      </c>
      <c r="BM22" s="330" t="e">
        <f t="shared" si="11"/>
        <v>#DIV/0!</v>
      </c>
      <c r="BN22" s="330" t="e">
        <f t="shared" si="12"/>
        <v>#DIV/0!</v>
      </c>
      <c r="BO22" s="432" t="e">
        <f t="shared" si="13"/>
        <v>#DIV/0!</v>
      </c>
    </row>
    <row r="23" spans="1:67" ht="13.5" thickBot="1">
      <c r="A23" s="657"/>
      <c r="B23" s="676"/>
      <c r="C23" s="676"/>
      <c r="D23" s="657"/>
      <c r="E23" s="677"/>
      <c r="F23" s="677"/>
      <c r="G23" s="678"/>
      <c r="H23" s="679"/>
      <c r="I23" s="678"/>
      <c r="J23" s="657"/>
      <c r="K23" s="421"/>
      <c r="N23" s="15"/>
      <c r="O23" s="18"/>
      <c r="P23" s="18"/>
      <c r="Q23" s="18"/>
      <c r="R23" s="18"/>
      <c r="S23" s="364" t="s">
        <v>582</v>
      </c>
      <c r="T23" s="336">
        <f>IF($T$19="","",$T$10)</f>
        <v>0</v>
      </c>
      <c r="U23" s="359">
        <f>IF($U$15="",$C$13,$U$10)</f>
        <v>0</v>
      </c>
      <c r="W23" s="364" t="s">
        <v>569</v>
      </c>
      <c r="X23" s="323" t="s">
        <v>575</v>
      </c>
      <c r="Y23" s="336" t="str">
        <f t="shared" si="14"/>
        <v>Dry</v>
      </c>
      <c r="Z23" s="336">
        <f t="shared" si="15"/>
        <v>0</v>
      </c>
      <c r="AA23" s="336" t="str">
        <f t="shared" si="16"/>
        <v>Dry</v>
      </c>
      <c r="AB23" s="359">
        <f t="shared" si="17"/>
        <v>0</v>
      </c>
      <c r="AG23" s="982" t="s">
        <v>590</v>
      </c>
      <c r="AH23" s="983"/>
      <c r="AI23" s="315"/>
      <c r="AJ23" s="328"/>
      <c r="AK23" s="315"/>
      <c r="AL23" s="329"/>
      <c r="AM23" s="134"/>
      <c r="AN23" s="134"/>
      <c r="AO23" s="134"/>
      <c r="AP23" s="316"/>
      <c r="AR23" s="982" t="s">
        <v>590</v>
      </c>
      <c r="AS23" s="983"/>
      <c r="AT23" s="315"/>
      <c r="AU23" s="328"/>
      <c r="AV23" s="315"/>
      <c r="AW23" s="329"/>
      <c r="AX23" s="134"/>
      <c r="AY23" s="134"/>
      <c r="AZ23" s="134"/>
      <c r="BA23" s="316"/>
      <c r="BC23" s="545">
        <v>14</v>
      </c>
      <c r="BD23" s="344">
        <f t="shared" si="5"/>
        <v>0</v>
      </c>
      <c r="BE23" s="330" t="e">
        <f t="shared" si="2"/>
        <v>#DIV/0!</v>
      </c>
      <c r="BF23" s="330" t="e">
        <f t="shared" si="6"/>
        <v>#DIV/0!</v>
      </c>
      <c r="BG23" s="330" t="e">
        <f t="shared" si="7"/>
        <v>#DIV/0!</v>
      </c>
      <c r="BH23" s="330" t="e">
        <f t="shared" si="3"/>
        <v>#DIV/0!</v>
      </c>
      <c r="BI23" s="330" t="e">
        <f t="shared" si="4"/>
        <v>#DIV/0!</v>
      </c>
      <c r="BJ23" s="330" t="e">
        <f t="shared" si="8"/>
        <v>#DIV/0!</v>
      </c>
      <c r="BK23" s="330" t="e">
        <f t="shared" si="9"/>
        <v>#DIV/0!</v>
      </c>
      <c r="BL23" s="330" t="e">
        <f t="shared" si="10"/>
        <v>#DIV/0!</v>
      </c>
      <c r="BM23" s="330" t="e">
        <f t="shared" si="11"/>
        <v>#DIV/0!</v>
      </c>
      <c r="BN23" s="330" t="e">
        <f t="shared" si="12"/>
        <v>#DIV/0!</v>
      </c>
      <c r="BO23" s="432" t="e">
        <f t="shared" si="13"/>
        <v>#DIV/0!</v>
      </c>
    </row>
    <row r="24" spans="1:67" ht="16.5" thickBot="1">
      <c r="A24" s="1006" t="s">
        <v>475</v>
      </c>
      <c r="B24" s="167" t="s">
        <v>488</v>
      </c>
      <c r="C24" s="163" t="s">
        <v>489</v>
      </c>
      <c r="D24" s="906" t="s">
        <v>571</v>
      </c>
      <c r="E24" s="1001"/>
      <c r="F24" s="168" t="s">
        <v>559</v>
      </c>
      <c r="G24" s="168" t="s">
        <v>560</v>
      </c>
      <c r="H24" s="168" t="s">
        <v>742</v>
      </c>
      <c r="I24" s="168" t="s">
        <v>743</v>
      </c>
      <c r="J24" s="180" t="s">
        <v>491</v>
      </c>
      <c r="K24" s="421"/>
      <c r="L24" s="146"/>
      <c r="N24" s="15"/>
      <c r="O24" s="18"/>
      <c r="P24" s="18"/>
      <c r="Q24" s="18"/>
      <c r="R24" s="18"/>
      <c r="S24" s="364" t="s">
        <v>580</v>
      </c>
      <c r="T24" s="336">
        <f>IF($T$19="","",IF($D$22="No",$T$23-((SIN(45*PI()/180))*$M$18),(($T$23+$T$25)/2)-((SIN(45*PI()/180))*$M$18)))</f>
        <v>0</v>
      </c>
      <c r="U24" s="359">
        <f>IF($U$15="",$C$13,($U$25+$U$23)/2)</f>
        <v>0</v>
      </c>
      <c r="W24" s="364" t="s">
        <v>564</v>
      </c>
      <c r="X24" s="323" t="s">
        <v>576</v>
      </c>
      <c r="Y24" s="336" t="str">
        <f t="shared" si="14"/>
        <v>Dry</v>
      </c>
      <c r="Z24" s="336">
        <f t="shared" si="15"/>
        <v>0</v>
      </c>
      <c r="AA24" s="336" t="str">
        <f t="shared" si="16"/>
        <v>Dry</v>
      </c>
      <c r="AB24" s="359">
        <f t="shared" si="17"/>
        <v>0</v>
      </c>
      <c r="AG24" s="317"/>
      <c r="AH24" s="22"/>
      <c r="AI24" s="318" t="s">
        <v>588</v>
      </c>
      <c r="AJ24" s="319" t="s">
        <v>638</v>
      </c>
      <c r="AK24" s="315"/>
      <c r="AL24" s="134"/>
      <c r="AM24" s="134"/>
      <c r="AN24" s="134"/>
      <c r="AO24" s="329"/>
      <c r="AP24" s="316"/>
      <c r="AR24" s="317"/>
      <c r="AS24" s="22"/>
      <c r="AT24" s="318" t="s">
        <v>588</v>
      </c>
      <c r="AU24" s="319" t="s">
        <v>638</v>
      </c>
      <c r="AV24" s="315"/>
      <c r="AW24" s="134"/>
      <c r="AX24" s="134"/>
      <c r="AY24" s="134"/>
      <c r="AZ24" s="329"/>
      <c r="BA24" s="316"/>
      <c r="BC24" s="545">
        <v>15</v>
      </c>
      <c r="BD24" s="344">
        <f t="shared" si="5"/>
        <v>0</v>
      </c>
      <c r="BE24" s="330" t="e">
        <f t="shared" si="2"/>
        <v>#DIV/0!</v>
      </c>
      <c r="BF24" s="330" t="e">
        <f t="shared" si="6"/>
        <v>#DIV/0!</v>
      </c>
      <c r="BG24" s="330" t="e">
        <f t="shared" si="7"/>
        <v>#DIV/0!</v>
      </c>
      <c r="BH24" s="330" t="e">
        <f t="shared" si="3"/>
        <v>#DIV/0!</v>
      </c>
      <c r="BI24" s="330" t="e">
        <f t="shared" si="4"/>
        <v>#DIV/0!</v>
      </c>
      <c r="BJ24" s="330" t="e">
        <f t="shared" si="8"/>
        <v>#DIV/0!</v>
      </c>
      <c r="BK24" s="330" t="e">
        <f t="shared" si="9"/>
        <v>#DIV/0!</v>
      </c>
      <c r="BL24" s="330" t="e">
        <f t="shared" si="10"/>
        <v>#DIV/0!</v>
      </c>
      <c r="BM24" s="330" t="e">
        <f t="shared" si="11"/>
        <v>#DIV/0!</v>
      </c>
      <c r="BN24" s="330" t="e">
        <f t="shared" si="12"/>
        <v>#DIV/0!</v>
      </c>
      <c r="BO24" s="432" t="e">
        <f t="shared" si="13"/>
        <v>#DIV/0!</v>
      </c>
    </row>
    <row r="25" spans="1:67" ht="16.5" thickBot="1">
      <c r="A25" s="1007"/>
      <c r="B25" s="243"/>
      <c r="C25" s="244"/>
      <c r="D25" s="1005"/>
      <c r="E25" s="1005"/>
      <c r="F25" s="262"/>
      <c r="G25" s="220"/>
      <c r="H25" s="444" t="str">
        <f>IF(OR($E$22="",$F$22="",$F$25="",$G$25=""),"",MIN($U$10:$U$15))</f>
        <v/>
      </c>
      <c r="I25" s="450" t="str">
        <f>IF(OR($E$22="",$F$22="",$F$25="",$G$25=""),"",MAX($U$10:$U$15))</f>
        <v/>
      </c>
      <c r="J25" s="451" t="str">
        <f>IF(OR($E$22="",$F$22="",$F$25="",$G$25=""),"",IF($T$81&lt;0,$AB$80,IF($T$81&gt;$T$77,$T$77+$AB$80,IF(OR(AND($C$25=0,$D$22="No",$B$25=0),AND($C$25=0,$D$22="No",$B$25=360),AND($C$25=0,$D$22="No",$B$25=180)),PI()*(($F$22/2)^2),$T$81+$AB$80))))</f>
        <v/>
      </c>
      <c r="K25" s="421" t="str">
        <f>IF(OR($B$13="",$B$19="",$U$38=0,$U$39=0),"",IF(OR(MAX($U$38:$U$39)&gt;$B$19,MIN($U$38:$U$39)&lt;$B$13),"ERROR - Log extends beyond limits of floodplain",""))</f>
        <v/>
      </c>
      <c r="N25" s="15"/>
      <c r="O25" s="18"/>
      <c r="P25" s="18"/>
      <c r="Q25" s="18"/>
      <c r="R25" s="18"/>
      <c r="S25" s="364" t="s">
        <v>578</v>
      </c>
      <c r="T25" s="336">
        <f>IF($T$19="","",IF($D$22="No",(($T$27+$T$23)/2)-($F$22/2*$M$18),(($T$27+$T$23)/2)-($H$22/2*$M$18)))</f>
        <v>0</v>
      </c>
      <c r="U25" s="359">
        <f>IF($U$15="",$C$13,($U$27+$U$23)/2)</f>
        <v>0</v>
      </c>
      <c r="W25" s="365" t="s">
        <v>567</v>
      </c>
      <c r="X25" s="360" t="s">
        <v>577</v>
      </c>
      <c r="Y25" s="351" t="str">
        <f t="shared" si="14"/>
        <v>Dry</v>
      </c>
      <c r="Z25" s="351">
        <f t="shared" si="15"/>
        <v>0</v>
      </c>
      <c r="AA25" s="351" t="str">
        <f t="shared" si="16"/>
        <v>Dry</v>
      </c>
      <c r="AB25" s="361">
        <f t="shared" si="17"/>
        <v>0</v>
      </c>
      <c r="AG25" s="317"/>
      <c r="AH25" s="134"/>
      <c r="AI25" s="321" t="s">
        <v>594</v>
      </c>
      <c r="AJ25" s="319" t="s">
        <v>600</v>
      </c>
      <c r="AK25" s="315"/>
      <c r="AL25" s="134"/>
      <c r="AM25" s="134"/>
      <c r="AN25" s="134"/>
      <c r="AO25" s="329"/>
      <c r="AP25" s="316"/>
      <c r="AR25" s="317"/>
      <c r="AS25" s="134"/>
      <c r="AT25" s="321" t="s">
        <v>594</v>
      </c>
      <c r="AU25" s="319" t="s">
        <v>600</v>
      </c>
      <c r="AV25" s="315"/>
      <c r="AW25" s="134"/>
      <c r="AX25" s="134"/>
      <c r="AY25" s="134"/>
      <c r="AZ25" s="329"/>
      <c r="BA25" s="316"/>
      <c r="BC25" s="545">
        <v>16</v>
      </c>
      <c r="BD25" s="344">
        <f t="shared" si="5"/>
        <v>0</v>
      </c>
      <c r="BE25" s="330" t="e">
        <f t="shared" si="2"/>
        <v>#DIV/0!</v>
      </c>
      <c r="BF25" s="330" t="e">
        <f t="shared" si="6"/>
        <v>#DIV/0!</v>
      </c>
      <c r="BG25" s="330" t="e">
        <f t="shared" si="7"/>
        <v>#DIV/0!</v>
      </c>
      <c r="BH25" s="330" t="e">
        <f t="shared" si="3"/>
        <v>#DIV/0!</v>
      </c>
      <c r="BI25" s="330" t="e">
        <f t="shared" si="4"/>
        <v>#DIV/0!</v>
      </c>
      <c r="BJ25" s="330" t="e">
        <f t="shared" si="8"/>
        <v>#DIV/0!</v>
      </c>
      <c r="BK25" s="330" t="e">
        <f t="shared" si="9"/>
        <v>#DIV/0!</v>
      </c>
      <c r="BL25" s="330" t="e">
        <f t="shared" si="10"/>
        <v>#DIV/0!</v>
      </c>
      <c r="BM25" s="330" t="e">
        <f t="shared" si="11"/>
        <v>#DIV/0!</v>
      </c>
      <c r="BN25" s="330" t="e">
        <f t="shared" si="12"/>
        <v>#DIV/0!</v>
      </c>
      <c r="BO25" s="432" t="e">
        <f t="shared" si="13"/>
        <v>#DIV/0!</v>
      </c>
    </row>
    <row r="26" spans="1:67" ht="15.75" thickBot="1">
      <c r="A26" s="677"/>
      <c r="B26" s="677"/>
      <c r="C26" s="677"/>
      <c r="D26" s="677"/>
      <c r="E26" s="677"/>
      <c r="F26" s="677"/>
      <c r="G26" s="677"/>
      <c r="H26" s="680"/>
      <c r="I26" s="681"/>
      <c r="J26" s="681"/>
      <c r="N26" s="15"/>
      <c r="O26" s="15"/>
      <c r="P26" s="18"/>
      <c r="Q26" s="18"/>
      <c r="R26" s="18"/>
      <c r="S26" s="364" t="s">
        <v>581</v>
      </c>
      <c r="T26" s="336">
        <f>IF($T$19="","",IF($D$22="No",$T$27-((SIN(45*PI()/180))*$M$18),(($T$27+$T$25)/2)-((SIN(45*PI()/180))*$M$18)))</f>
        <v>0</v>
      </c>
      <c r="U26" s="359">
        <f>IF($U$15="",$C$13,($U$25+$U$27)/2)</f>
        <v>0</v>
      </c>
      <c r="Z26" s="271"/>
      <c r="AG26" s="317"/>
      <c r="AH26" s="22"/>
      <c r="AI26" s="323" t="s">
        <v>602</v>
      </c>
      <c r="AJ26" s="330" t="e">
        <f>(PI()*(($AI$7)^2)*($AI$14))+($AI$13/$AI$11)*($AI$7^3)*(SIN($AI$15)-($AI$15*COS($AI$15))-((1/3)*(SIN($AI$15))^3))</f>
        <v>#VALUE!</v>
      </c>
      <c r="AK26" s="325" t="s">
        <v>614</v>
      </c>
      <c r="AL26" s="134"/>
      <c r="AM26" s="134"/>
      <c r="AN26" s="134"/>
      <c r="AO26" s="329"/>
      <c r="AP26" s="316"/>
      <c r="AR26" s="317"/>
      <c r="AS26" s="22"/>
      <c r="AT26" s="323" t="s">
        <v>602</v>
      </c>
      <c r="AU26" s="330" t="e">
        <f>(PI()*(($AT$7)^2)*($AT$14))+($AT$13/$AT$11)*($AT$7^3)*(SIN($AT$15)-($AT$15*COS($AT$15))-((1/3)*(SIN($AT$15))^3))</f>
        <v>#VALUE!</v>
      </c>
      <c r="AV26" s="325" t="s">
        <v>614</v>
      </c>
      <c r="AW26" s="134"/>
      <c r="AX26" s="134"/>
      <c r="AY26" s="134"/>
      <c r="AZ26" s="329"/>
      <c r="BA26" s="316"/>
      <c r="BC26" s="545">
        <v>17</v>
      </c>
      <c r="BD26" s="344">
        <f t="shared" si="5"/>
        <v>0</v>
      </c>
      <c r="BE26" s="330" t="e">
        <f t="shared" si="2"/>
        <v>#DIV/0!</v>
      </c>
      <c r="BF26" s="330" t="e">
        <f t="shared" si="6"/>
        <v>#DIV/0!</v>
      </c>
      <c r="BG26" s="330" t="e">
        <f t="shared" si="7"/>
        <v>#DIV/0!</v>
      </c>
      <c r="BH26" s="330" t="e">
        <f t="shared" si="3"/>
        <v>#DIV/0!</v>
      </c>
      <c r="BI26" s="330" t="e">
        <f t="shared" si="4"/>
        <v>#DIV/0!</v>
      </c>
      <c r="BJ26" s="330" t="e">
        <f t="shared" si="8"/>
        <v>#DIV/0!</v>
      </c>
      <c r="BK26" s="330" t="e">
        <f t="shared" si="9"/>
        <v>#DIV/0!</v>
      </c>
      <c r="BL26" s="330" t="e">
        <f t="shared" si="10"/>
        <v>#DIV/0!</v>
      </c>
      <c r="BM26" s="330" t="e">
        <f t="shared" si="11"/>
        <v>#DIV/0!</v>
      </c>
      <c r="BN26" s="330" t="e">
        <f t="shared" si="12"/>
        <v>#DIV/0!</v>
      </c>
      <c r="BO26" s="432" t="e">
        <f t="shared" si="13"/>
        <v>#DIV/0!</v>
      </c>
    </row>
    <row r="27" spans="1:67" ht="16.5" thickBot="1">
      <c r="A27" s="169" t="s">
        <v>325</v>
      </c>
      <c r="B27" s="913" t="s">
        <v>320</v>
      </c>
      <c r="C27" s="977"/>
      <c r="D27" s="172" t="s">
        <v>534</v>
      </c>
      <c r="E27" s="172" t="s">
        <v>535</v>
      </c>
      <c r="F27" s="173" t="s">
        <v>490</v>
      </c>
      <c r="G27" s="158" t="s">
        <v>249</v>
      </c>
      <c r="H27" s="163" t="s">
        <v>753</v>
      </c>
      <c r="I27" s="163" t="s">
        <v>738</v>
      </c>
      <c r="J27" s="445" t="s">
        <v>739</v>
      </c>
      <c r="N27" s="15"/>
      <c r="O27" s="8"/>
      <c r="P27" s="18"/>
      <c r="Q27" s="18"/>
      <c r="R27" s="8"/>
      <c r="S27" s="365" t="s">
        <v>583</v>
      </c>
      <c r="T27" s="351">
        <f>IF($T$19="","",$T$15)</f>
        <v>0</v>
      </c>
      <c r="U27" s="361">
        <f>IF($U$15="",$C$13,$U$15)</f>
        <v>0</v>
      </c>
      <c r="AG27" s="317"/>
      <c r="AH27" s="134"/>
      <c r="AI27" s="331"/>
      <c r="AJ27" s="39"/>
      <c r="AK27" s="332"/>
      <c r="AL27" s="134"/>
      <c r="AM27" s="319"/>
      <c r="AN27" s="134"/>
      <c r="AO27" s="134"/>
      <c r="AP27" s="316"/>
      <c r="AR27" s="317"/>
      <c r="AS27" s="134"/>
      <c r="AT27" s="331"/>
      <c r="AU27" s="39"/>
      <c r="AV27" s="332"/>
      <c r="AW27" s="134"/>
      <c r="AX27" s="319"/>
      <c r="AY27" s="134"/>
      <c r="AZ27" s="134"/>
      <c r="BA27" s="316"/>
      <c r="BC27" s="545">
        <v>18</v>
      </c>
      <c r="BD27" s="344">
        <f t="shared" si="5"/>
        <v>0</v>
      </c>
      <c r="BE27" s="330" t="e">
        <f t="shared" si="2"/>
        <v>#DIV/0!</v>
      </c>
      <c r="BF27" s="330" t="e">
        <f t="shared" si="6"/>
        <v>#DIV/0!</v>
      </c>
      <c r="BG27" s="330" t="e">
        <f t="shared" si="7"/>
        <v>#DIV/0!</v>
      </c>
      <c r="BH27" s="330" t="e">
        <f t="shared" si="3"/>
        <v>#DIV/0!</v>
      </c>
      <c r="BI27" s="330" t="e">
        <f t="shared" si="4"/>
        <v>#DIV/0!</v>
      </c>
      <c r="BJ27" s="330" t="e">
        <f t="shared" si="8"/>
        <v>#DIV/0!</v>
      </c>
      <c r="BK27" s="330" t="e">
        <f t="shared" si="9"/>
        <v>#DIV/0!</v>
      </c>
      <c r="BL27" s="330" t="e">
        <f t="shared" si="10"/>
        <v>#DIV/0!</v>
      </c>
      <c r="BM27" s="330" t="e">
        <f t="shared" si="11"/>
        <v>#DIV/0!</v>
      </c>
      <c r="BN27" s="330" t="e">
        <f t="shared" si="12"/>
        <v>#DIV/0!</v>
      </c>
      <c r="BO27" s="432" t="e">
        <f t="shared" si="13"/>
        <v>#DIV/0!</v>
      </c>
    </row>
    <row r="28" spans="1:67" ht="13.5" thickBot="1">
      <c r="A28" s="170" t="s">
        <v>319</v>
      </c>
      <c r="B28" s="1041" t="str">
        <f>IF($A$6="","",VLOOKUP($A$6,Soil,4,0))</f>
        <v/>
      </c>
      <c r="C28" s="1042"/>
      <c r="D28" s="153" t="str">
        <f>IF($A$6="","",VLOOKUP($A$6,Soil,6,0))</f>
        <v/>
      </c>
      <c r="E28" s="153" t="str">
        <f>IF($A$6="","",VLOOKUP($A$6,Soil,7,0))</f>
        <v/>
      </c>
      <c r="F28" s="153" t="str">
        <f>IF($A$6="","",VLOOKUP($A$6,Soil,8,0))</f>
        <v/>
      </c>
      <c r="G28" s="154" t="str">
        <f>IF($A$6="","",VLOOKUP($A$6,Soil,5,0))</f>
        <v/>
      </c>
      <c r="H28" s="446" t="str">
        <f>IF(OR($E$22="",$F$22="",$F$25="",$G$25=""),"",IF(AND($F$25&lt;=$B$17,$F$25&gt;=$B$15,OR($B$25=0,$B$25=180,$B$25=360)),SUM($X$49:$X$50),$AB$49+$AB$50))</f>
        <v/>
      </c>
      <c r="I28" s="446" t="str">
        <f>IF(OR($E$22="",$F$22="",$F$25="",$G$25=""),"",$AT$42)</f>
        <v/>
      </c>
      <c r="J28" s="447" t="str">
        <f>IF(OR($E$22="",$F$22="",$F$25="",$G$25=""),"",$AT$41)</f>
        <v/>
      </c>
      <c r="N28" s="9"/>
      <c r="O28" s="18"/>
      <c r="P28" s="15"/>
      <c r="Q28" s="18"/>
      <c r="R28" s="18"/>
      <c r="T28" s="26"/>
      <c r="U28" s="270"/>
      <c r="AG28" s="982" t="s">
        <v>597</v>
      </c>
      <c r="AH28" s="983"/>
      <c r="AI28" s="331"/>
      <c r="AJ28" s="333"/>
      <c r="AK28" s="332"/>
      <c r="AL28" s="331"/>
      <c r="AM28" s="334"/>
      <c r="AN28" s="134"/>
      <c r="AO28" s="134"/>
      <c r="AP28" s="316"/>
      <c r="AR28" s="982" t="s">
        <v>597</v>
      </c>
      <c r="AS28" s="983"/>
      <c r="AT28" s="331"/>
      <c r="AU28" s="333"/>
      <c r="AV28" s="332"/>
      <c r="AW28" s="331"/>
      <c r="AX28" s="334"/>
      <c r="AY28" s="134"/>
      <c r="AZ28" s="134"/>
      <c r="BA28" s="316"/>
      <c r="BC28" s="545">
        <v>19</v>
      </c>
      <c r="BD28" s="344">
        <f t="shared" si="5"/>
        <v>0</v>
      </c>
      <c r="BE28" s="330" t="e">
        <f t="shared" si="2"/>
        <v>#DIV/0!</v>
      </c>
      <c r="BF28" s="330" t="e">
        <f t="shared" si="6"/>
        <v>#DIV/0!</v>
      </c>
      <c r="BG28" s="330" t="e">
        <f t="shared" si="7"/>
        <v>#DIV/0!</v>
      </c>
      <c r="BH28" s="330" t="e">
        <f t="shared" si="3"/>
        <v>#DIV/0!</v>
      </c>
      <c r="BI28" s="330" t="e">
        <f t="shared" si="4"/>
        <v>#DIV/0!</v>
      </c>
      <c r="BJ28" s="330" t="e">
        <f t="shared" si="8"/>
        <v>#DIV/0!</v>
      </c>
      <c r="BK28" s="330" t="e">
        <f t="shared" si="9"/>
        <v>#DIV/0!</v>
      </c>
      <c r="BL28" s="330" t="e">
        <f t="shared" si="10"/>
        <v>#DIV/0!</v>
      </c>
      <c r="BM28" s="330" t="e">
        <f t="shared" si="11"/>
        <v>#DIV/0!</v>
      </c>
      <c r="BN28" s="330" t="e">
        <f t="shared" si="12"/>
        <v>#DIV/0!</v>
      </c>
      <c r="BO28" s="432" t="e">
        <f t="shared" si="13"/>
        <v>#DIV/0!</v>
      </c>
    </row>
    <row r="29" spans="1:67" ht="16.5" thickBot="1">
      <c r="A29" s="171" t="s">
        <v>18</v>
      </c>
      <c r="B29" s="1043" t="str">
        <f>IF($A$6="","",VLOOKUP($A$6,Soil,9,0))</f>
        <v/>
      </c>
      <c r="C29" s="1044"/>
      <c r="D29" s="155" t="str">
        <f>IF($A$6="","",VLOOKUP($A$6,Soil,11,0))</f>
        <v/>
      </c>
      <c r="E29" s="155" t="str">
        <f>IF($A$6="","",VLOOKUP($A$6,Soil,12,0))</f>
        <v/>
      </c>
      <c r="F29" s="155" t="str">
        <f>IF($A$6="","",VLOOKUP($A$6,Soil,13,0))</f>
        <v/>
      </c>
      <c r="G29" s="156" t="str">
        <f>IF($A$6="","",VLOOKUP($A$6,Soil,10,0))</f>
        <v/>
      </c>
      <c r="H29" s="448" t="str">
        <f>IF(OR($E$22="",$F$22="",$F$25="",$G$25=""),"",IF(AND(OR($F$25&gt;$B$17,$F$25&lt;$B$15),OR($B$25=0,$B$25=180,$B$25=360)),SUM($X$47+$X$48+$X$51+$X$52),$AB$47+$AB$48+$AB$51+$AB$52))</f>
        <v/>
      </c>
      <c r="I29" s="448" t="str">
        <f>IF(OR($E$22="",$F$22="",$F$25="",$G$25=""),"",$AU$42)</f>
        <v/>
      </c>
      <c r="J29" s="449" t="str">
        <f>IF(OR($E$22="",$F$22="",$F$25="",$G$25=""),"",$AU$41)</f>
        <v/>
      </c>
      <c r="K29" s="421" t="str">
        <f>IF(OR($E$22="",$F$22="",$F$25="",$G$25=""),"",IF(($H$28+$H$29)&gt;$E$22,"ERROR - Embedded length of log exceeds total length of log",""))</f>
        <v/>
      </c>
      <c r="L29" s="581"/>
      <c r="N29" s="17"/>
      <c r="O29" s="18"/>
      <c r="P29" s="8"/>
      <c r="Q29" s="8"/>
      <c r="R29" s="18"/>
      <c r="S29" s="1029" t="s">
        <v>639</v>
      </c>
      <c r="T29" s="1030"/>
      <c r="U29" s="1030"/>
      <c r="V29" s="1030"/>
      <c r="W29" s="1030"/>
      <c r="X29" s="463"/>
      <c r="Y29" s="314"/>
      <c r="AE29" s="286"/>
      <c r="AG29" s="335"/>
      <c r="AH29" s="134"/>
      <c r="AI29" s="318" t="s">
        <v>588</v>
      </c>
      <c r="AJ29" s="328" t="s">
        <v>634</v>
      </c>
      <c r="AK29" s="315"/>
      <c r="AL29" s="134"/>
      <c r="AM29" s="134"/>
      <c r="AN29" s="134"/>
      <c r="AO29" s="134"/>
      <c r="AP29" s="316"/>
      <c r="AR29" s="335"/>
      <c r="AS29" s="134"/>
      <c r="AT29" s="318" t="s">
        <v>588</v>
      </c>
      <c r="AU29" s="328" t="s">
        <v>634</v>
      </c>
      <c r="AV29" s="315"/>
      <c r="AW29" s="134"/>
      <c r="AX29" s="134"/>
      <c r="AY29" s="134"/>
      <c r="AZ29" s="134"/>
      <c r="BA29" s="316"/>
      <c r="BC29" s="545">
        <v>20</v>
      </c>
      <c r="BD29" s="344">
        <f t="shared" si="5"/>
        <v>0</v>
      </c>
      <c r="BE29" s="330" t="e">
        <f t="shared" si="2"/>
        <v>#DIV/0!</v>
      </c>
      <c r="BF29" s="330" t="e">
        <f t="shared" si="6"/>
        <v>#DIV/0!</v>
      </c>
      <c r="BG29" s="330" t="e">
        <f t="shared" si="7"/>
        <v>#DIV/0!</v>
      </c>
      <c r="BH29" s="330" t="e">
        <f t="shared" si="3"/>
        <v>#DIV/0!</v>
      </c>
      <c r="BI29" s="330" t="e">
        <f t="shared" si="4"/>
        <v>#DIV/0!</v>
      </c>
      <c r="BJ29" s="330" t="e">
        <f t="shared" si="8"/>
        <v>#DIV/0!</v>
      </c>
      <c r="BK29" s="330" t="e">
        <f t="shared" si="9"/>
        <v>#DIV/0!</v>
      </c>
      <c r="BL29" s="330" t="e">
        <f t="shared" si="10"/>
        <v>#DIV/0!</v>
      </c>
      <c r="BM29" s="330" t="e">
        <f t="shared" si="11"/>
        <v>#DIV/0!</v>
      </c>
      <c r="BN29" s="330" t="e">
        <f t="shared" si="12"/>
        <v>#DIV/0!</v>
      </c>
      <c r="BO29" s="432" t="e">
        <f t="shared" si="13"/>
        <v>#DIV/0!</v>
      </c>
    </row>
    <row r="30" spans="1:67" ht="15">
      <c r="A30" s="682"/>
      <c r="B30" s="683"/>
      <c r="C30" s="684"/>
      <c r="D30" s="684"/>
      <c r="E30" s="685"/>
      <c r="F30" s="677"/>
      <c r="G30" s="677"/>
      <c r="H30" s="680"/>
      <c r="I30" s="657"/>
      <c r="J30" s="657"/>
      <c r="K30" s="421"/>
      <c r="L30" s="136"/>
      <c r="N30" s="50"/>
      <c r="O30" s="18"/>
      <c r="P30" s="18"/>
      <c r="Q30" s="18"/>
      <c r="R30" s="18"/>
      <c r="S30" s="464"/>
      <c r="T30" s="1032" t="s">
        <v>653</v>
      </c>
      <c r="U30" s="995" t="s">
        <v>664</v>
      </c>
      <c r="V30" s="996"/>
      <c r="W30" s="996"/>
      <c r="X30" s="997"/>
      <c r="Y30" s="358" t="s">
        <v>620</v>
      </c>
      <c r="AA30" s="379" t="s">
        <v>666</v>
      </c>
      <c r="AB30" s="393" t="s">
        <v>665</v>
      </c>
      <c r="AG30" s="317"/>
      <c r="AH30" s="134"/>
      <c r="AI30" s="323" t="s">
        <v>603</v>
      </c>
      <c r="AJ30" s="324" t="str">
        <f>IF($AI$10="","",($E$22-$G$22)*((($AI$7^2)*ACOS(($AI$7-$AI$10)/$AI$7))-(($AI$7-$AI$10)*((2*$AI$7*$AI$10)-($AI$10^2))^0.5)))</f>
        <v/>
      </c>
      <c r="AK30" s="325" t="s">
        <v>614</v>
      </c>
      <c r="AL30" s="134"/>
      <c r="AM30" s="134"/>
      <c r="AN30" s="134"/>
      <c r="AO30" s="134"/>
      <c r="AP30" s="316"/>
      <c r="AR30" s="317"/>
      <c r="AS30" s="134"/>
      <c r="AT30" s="323" t="s">
        <v>603</v>
      </c>
      <c r="AU30" s="324" t="str">
        <f>IF($AT$10="","",($E$22-$G$22)*((($AT$7^2)*ACOS(($AT$7-$AT$10)/$AT$7))-(($AT$7-$AT$10)*((2*$AT$7*$AT$10)-($AT$10^2))^0.5)))</f>
        <v/>
      </c>
      <c r="AV30" s="325" t="s">
        <v>614</v>
      </c>
      <c r="AW30" s="134"/>
      <c r="AX30" s="134"/>
      <c r="AY30" s="134"/>
      <c r="AZ30" s="134"/>
      <c r="BA30" s="316"/>
      <c r="BC30" s="545">
        <v>21</v>
      </c>
      <c r="BD30" s="344">
        <f t="shared" si="5"/>
        <v>0</v>
      </c>
      <c r="BE30" s="330" t="e">
        <f t="shared" si="2"/>
        <v>#DIV/0!</v>
      </c>
      <c r="BF30" s="330" t="e">
        <f t="shared" si="6"/>
        <v>#DIV/0!</v>
      </c>
      <c r="BG30" s="330" t="e">
        <f t="shared" si="7"/>
        <v>#DIV/0!</v>
      </c>
      <c r="BH30" s="330" t="e">
        <f t="shared" si="3"/>
        <v>#DIV/0!</v>
      </c>
      <c r="BI30" s="330" t="e">
        <f t="shared" si="4"/>
        <v>#DIV/0!</v>
      </c>
      <c r="BJ30" s="330" t="e">
        <f t="shared" si="8"/>
        <v>#DIV/0!</v>
      </c>
      <c r="BK30" s="330" t="e">
        <f>(($BE30^2)*ACOS(($BE30-$BJ30)/$BE30))-(($BE30-$BJ30)*SQRT(2*$BE30*$BJ30-($BJ30^2)))</f>
        <v>#DIV/0!</v>
      </c>
      <c r="BL30" s="330" t="e">
        <f>$BK30*$BE$6</f>
        <v>#DIV/0!</v>
      </c>
      <c r="BM30" s="330" t="e">
        <f t="shared" si="11"/>
        <v>#DIV/0!</v>
      </c>
      <c r="BN30" s="330" t="e">
        <f t="shared" si="12"/>
        <v>#DIV/0!</v>
      </c>
      <c r="BO30" s="432" t="e">
        <f t="shared" si="13"/>
        <v>#DIV/0!</v>
      </c>
    </row>
    <row r="31" spans="1:67" ht="14.25">
      <c r="A31" s="682"/>
      <c r="B31" s="683"/>
      <c r="C31" s="684"/>
      <c r="D31" s="684"/>
      <c r="E31" s="685"/>
      <c r="F31" s="677"/>
      <c r="G31" s="677"/>
      <c r="H31" s="680"/>
      <c r="I31" s="657"/>
      <c r="J31" s="657"/>
      <c r="K31" s="421"/>
      <c r="L31" s="136"/>
      <c r="N31" s="50"/>
      <c r="O31" s="18"/>
      <c r="P31" s="18"/>
      <c r="Q31" s="18"/>
      <c r="R31" s="18"/>
      <c r="S31" s="465"/>
      <c r="T31" s="1033"/>
      <c r="U31" s="407" t="s">
        <v>733</v>
      </c>
      <c r="V31" s="407" t="s">
        <v>646</v>
      </c>
      <c r="W31" s="407" t="s">
        <v>676</v>
      </c>
      <c r="X31" s="407" t="s">
        <v>732</v>
      </c>
      <c r="Y31" s="358" t="s">
        <v>685</v>
      </c>
      <c r="AA31" s="364" t="s">
        <v>549</v>
      </c>
      <c r="AB31" s="391" t="str">
        <f>IF(OR($B$13="",$B$14="",$C$13="",$C$14=""),"",($C$14-$C$13)/($B$14-$B$13))</f>
        <v/>
      </c>
      <c r="AD31" s="18"/>
      <c r="AG31" s="317"/>
      <c r="AH31" s="134"/>
      <c r="AI31" s="315"/>
      <c r="AJ31" s="315"/>
      <c r="AK31" s="315"/>
      <c r="AL31" s="134"/>
      <c r="AM31" s="134"/>
      <c r="AN31" s="134"/>
      <c r="AO31" s="134"/>
      <c r="AP31" s="316"/>
      <c r="AR31" s="317"/>
      <c r="AS31" s="134"/>
      <c r="AT31" s="315"/>
      <c r="AU31" s="315"/>
      <c r="AV31" s="315"/>
      <c r="AW31" s="134"/>
      <c r="AX31" s="134"/>
      <c r="AY31" s="134"/>
      <c r="AZ31" s="134"/>
      <c r="BA31" s="316"/>
      <c r="BC31" s="545">
        <v>22</v>
      </c>
      <c r="BD31" s="344">
        <f t="shared" si="5"/>
        <v>0</v>
      </c>
      <c r="BE31" s="330" t="e">
        <f t="shared" si="2"/>
        <v>#DIV/0!</v>
      </c>
      <c r="BF31" s="330" t="e">
        <f t="shared" si="6"/>
        <v>#DIV/0!</v>
      </c>
      <c r="BG31" s="330" t="e">
        <f t="shared" si="7"/>
        <v>#DIV/0!</v>
      </c>
      <c r="BH31" s="330" t="e">
        <f t="shared" si="3"/>
        <v>#DIV/0!</v>
      </c>
      <c r="BI31" s="330" t="e">
        <f t="shared" si="4"/>
        <v>#DIV/0!</v>
      </c>
      <c r="BJ31" s="330" t="e">
        <f t="shared" si="8"/>
        <v>#DIV/0!</v>
      </c>
      <c r="BK31" s="330" t="e">
        <f t="shared" si="9"/>
        <v>#DIV/0!</v>
      </c>
      <c r="BL31" s="330" t="e">
        <f t="shared" si="10"/>
        <v>#DIV/0!</v>
      </c>
      <c r="BM31" s="330" t="e">
        <f t="shared" si="11"/>
        <v>#DIV/0!</v>
      </c>
      <c r="BN31" s="330" t="e">
        <f t="shared" si="12"/>
        <v>#DIV/0!</v>
      </c>
      <c r="BO31" s="432" t="e">
        <f t="shared" si="13"/>
        <v>#DIV/0!</v>
      </c>
    </row>
    <row r="32" spans="1:67" ht="16.899999999999999" customHeight="1">
      <c r="A32" s="682"/>
      <c r="B32" s="683"/>
      <c r="C32" s="684"/>
      <c r="D32" s="684"/>
      <c r="E32" s="685"/>
      <c r="F32" s="677"/>
      <c r="G32" s="677"/>
      <c r="H32" s="680"/>
      <c r="I32" s="657"/>
      <c r="J32" s="657"/>
      <c r="K32" s="421"/>
      <c r="L32" s="136"/>
      <c r="N32" s="1"/>
      <c r="O32" s="18"/>
      <c r="P32" s="18"/>
      <c r="Q32" s="18"/>
      <c r="R32" s="408"/>
      <c r="S32" s="466" t="s">
        <v>644</v>
      </c>
      <c r="T32" s="395" t="str">
        <f>IF(OR($F$25="",$G$25=""),"No",IF(MIN($U$38:$U$39)&gt;$B$14,"No",IF(MAX($U$38:$U$39)&lt;$B$14,"No","Yes")))</f>
        <v>No</v>
      </c>
      <c r="U32" s="395">
        <f>$B$14</f>
        <v>0</v>
      </c>
      <c r="V32" s="395">
        <f>IF(OR($B$25=0,$B$25=180,$B$25=360),0,IF($T$11&gt;$T$12,$G$22+((($T$11-$B$14)/ABS($M$17))/$M$19),(($T$12-$B$14)/ABS($M$17))/$M$19))</f>
        <v>0</v>
      </c>
      <c r="W32" s="395">
        <f t="shared" ref="W32:W43" si="18">IF(V32&lt;0,0,IF(V32&gt;$E$22,$E$22,V32))</f>
        <v>0</v>
      </c>
      <c r="X32" s="395">
        <f>IF($T$11&gt;$T$12,$U$11+(($V$32-$G$22)*$M$20),$U$12-($V$32*$M$20))</f>
        <v>0</v>
      </c>
      <c r="Y32" s="394">
        <f>$C$14</f>
        <v>0</v>
      </c>
      <c r="AA32" s="364" t="s">
        <v>478</v>
      </c>
      <c r="AB32" s="402" t="str">
        <f>IF(OR($B$14="",$B$15="",$C$14="",$C$15=""),"",($C$15-$C$14)/($B$15-$B$14))</f>
        <v/>
      </c>
      <c r="AC32" s="19"/>
      <c r="AD32" s="406"/>
      <c r="AG32" s="317"/>
      <c r="AH32" s="134"/>
      <c r="AI32" s="315"/>
      <c r="AJ32" s="315"/>
      <c r="AK32" s="315"/>
      <c r="AL32" s="134"/>
      <c r="AM32" s="134"/>
      <c r="AN32" s="134"/>
      <c r="AO32" s="134"/>
      <c r="AP32" s="316"/>
      <c r="AR32" s="317"/>
      <c r="AS32" s="134"/>
      <c r="AT32" s="315"/>
      <c r="AU32" s="315"/>
      <c r="AV32" s="315"/>
      <c r="AW32" s="134"/>
      <c r="AX32" s="134"/>
      <c r="AY32" s="134"/>
      <c r="AZ32" s="134"/>
      <c r="BA32" s="316"/>
      <c r="BC32" s="545">
        <v>23</v>
      </c>
      <c r="BD32" s="344">
        <f t="shared" si="5"/>
        <v>0</v>
      </c>
      <c r="BE32" s="330" t="e">
        <f t="shared" si="2"/>
        <v>#DIV/0!</v>
      </c>
      <c r="BF32" s="330" t="e">
        <f t="shared" si="6"/>
        <v>#DIV/0!</v>
      </c>
      <c r="BG32" s="330" t="e">
        <f t="shared" si="7"/>
        <v>#DIV/0!</v>
      </c>
      <c r="BH32" s="330" t="e">
        <f t="shared" si="3"/>
        <v>#DIV/0!</v>
      </c>
      <c r="BI32" s="330" t="e">
        <f t="shared" si="4"/>
        <v>#DIV/0!</v>
      </c>
      <c r="BJ32" s="330" t="e">
        <f t="shared" si="8"/>
        <v>#DIV/0!</v>
      </c>
      <c r="BK32" s="330" t="e">
        <f t="shared" si="9"/>
        <v>#DIV/0!</v>
      </c>
      <c r="BL32" s="330" t="e">
        <f t="shared" si="10"/>
        <v>#DIV/0!</v>
      </c>
      <c r="BM32" s="330" t="e">
        <f t="shared" si="11"/>
        <v>#DIV/0!</v>
      </c>
      <c r="BN32" s="330" t="e">
        <f t="shared" si="12"/>
        <v>#DIV/0!</v>
      </c>
      <c r="BO32" s="432" t="e">
        <f t="shared" si="13"/>
        <v>#DIV/0!</v>
      </c>
    </row>
    <row r="33" spans="1:72">
      <c r="A33" s="682"/>
      <c r="B33" s="683"/>
      <c r="C33" s="684"/>
      <c r="D33" s="684"/>
      <c r="E33" s="685"/>
      <c r="F33" s="677"/>
      <c r="G33" s="677"/>
      <c r="H33" s="680"/>
      <c r="I33" s="657"/>
      <c r="J33" s="657"/>
      <c r="K33" s="421"/>
      <c r="M33"/>
      <c r="N33" s="1"/>
      <c r="O33" s="18"/>
      <c r="P33" s="18"/>
      <c r="Q33" s="18"/>
      <c r="R33" s="18"/>
      <c r="S33" s="466" t="s">
        <v>642</v>
      </c>
      <c r="T33" s="395" t="str">
        <f>IF(OR($F$25="",$G$25=""),"No",IF(MIN($U$38:$U$39)&gt;$B$15,"No",IF(MAX($U$38:$U$39)&lt;$B$15,"No","Yes")))</f>
        <v>No</v>
      </c>
      <c r="U33" s="395">
        <f>$B$15</f>
        <v>0</v>
      </c>
      <c r="V33" s="346">
        <f>IF(OR($B$25=0,$B$25=180,$B$25=360),0,IF($T$11&gt;$T$12,$G$22+((($T$11-$B$15)/ABS($M$17))/$M$19),(($T$12-$B$15)/ABS($M$17))/$M$19))</f>
        <v>0</v>
      </c>
      <c r="W33" s="346">
        <f t="shared" si="18"/>
        <v>0</v>
      </c>
      <c r="X33" s="395">
        <f>IF($T$11&gt;$T$12,$U$11+(($V$33-$G$22)*$M$20),$U$12-($V$33*$M$20))</f>
        <v>0</v>
      </c>
      <c r="Y33" s="394">
        <f>$C$15</f>
        <v>0</v>
      </c>
      <c r="AA33" s="364" t="s">
        <v>675</v>
      </c>
      <c r="AB33" s="402" t="str">
        <f>IF(OR($B$15="",$B$16="",$C$15="",$C$16=""),"",($C$16-$C$15)/($B$16-$B$15))</f>
        <v/>
      </c>
      <c r="AC33" s="400"/>
      <c r="AD33" s="405"/>
      <c r="AE33" s="357"/>
      <c r="AG33" s="317"/>
      <c r="AH33" s="134"/>
      <c r="AI33" s="315"/>
      <c r="AJ33" s="328"/>
      <c r="AK33" s="315"/>
      <c r="AL33" s="134"/>
      <c r="AM33" s="134"/>
      <c r="AN33" s="134"/>
      <c r="AO33" s="134"/>
      <c r="AP33" s="316"/>
      <c r="AR33" s="317"/>
      <c r="AS33" s="134"/>
      <c r="AT33" s="315"/>
      <c r="AU33" s="328"/>
      <c r="AV33" s="315"/>
      <c r="AW33" s="134"/>
      <c r="AX33" s="134"/>
      <c r="AY33" s="134"/>
      <c r="AZ33" s="134"/>
      <c r="BA33" s="316"/>
      <c r="BC33" s="545">
        <v>24</v>
      </c>
      <c r="BD33" s="344">
        <f t="shared" si="5"/>
        <v>0</v>
      </c>
      <c r="BE33" s="330" t="e">
        <f t="shared" si="2"/>
        <v>#DIV/0!</v>
      </c>
      <c r="BF33" s="330" t="e">
        <f t="shared" si="6"/>
        <v>#DIV/0!</v>
      </c>
      <c r="BG33" s="330" t="e">
        <f t="shared" si="7"/>
        <v>#DIV/0!</v>
      </c>
      <c r="BH33" s="330" t="e">
        <f t="shared" si="3"/>
        <v>#DIV/0!</v>
      </c>
      <c r="BI33" s="330" t="e">
        <f t="shared" si="4"/>
        <v>#DIV/0!</v>
      </c>
      <c r="BJ33" s="330" t="e">
        <f t="shared" si="8"/>
        <v>#DIV/0!</v>
      </c>
      <c r="BK33" s="330" t="e">
        <f t="shared" si="9"/>
        <v>#DIV/0!</v>
      </c>
      <c r="BL33" s="330" t="e">
        <f t="shared" si="10"/>
        <v>#DIV/0!</v>
      </c>
      <c r="BM33" s="330" t="e">
        <f t="shared" si="11"/>
        <v>#DIV/0!</v>
      </c>
      <c r="BN33" s="330" t="e">
        <f t="shared" si="12"/>
        <v>#DIV/0!</v>
      </c>
      <c r="BO33" s="432" t="e">
        <f t="shared" si="13"/>
        <v>#DIV/0!</v>
      </c>
    </row>
    <row r="34" spans="1:72">
      <c r="A34" s="682"/>
      <c r="B34" s="683"/>
      <c r="C34" s="684"/>
      <c r="D34" s="684"/>
      <c r="E34" s="685"/>
      <c r="F34" s="677"/>
      <c r="G34" s="677"/>
      <c r="H34" s="680"/>
      <c r="I34" s="657"/>
      <c r="J34" s="657"/>
      <c r="K34" s="421"/>
      <c r="L34" s="137"/>
      <c r="N34" s="1"/>
      <c r="O34" s="18"/>
      <c r="P34" s="18"/>
      <c r="Q34" s="18"/>
      <c r="R34" s="18"/>
      <c r="S34" s="364" t="s">
        <v>678</v>
      </c>
      <c r="T34" s="348" t="str">
        <f>IF(OR($F$25="",$G$25=""),"No",IF(AND(MAX($U$38:$U$39)&gt;$B$16,MIN($U$38:$U$39)&lt;$B$16),"Yes","No"))</f>
        <v>No</v>
      </c>
      <c r="U34" s="348">
        <f>$B$16</f>
        <v>0</v>
      </c>
      <c r="V34" s="336">
        <f>IF(OR($B$25=0,$B$25=180,$B$25=360),0,IF($T$11&gt;$T$12,$G$22+((($T$11-$B$16)/ABS($M$17))/$M$19),(($T$12-$B$16)/ABS($M$17))/$M$19))</f>
        <v>0</v>
      </c>
      <c r="W34" s="336">
        <f t="shared" si="18"/>
        <v>0</v>
      </c>
      <c r="X34" s="348">
        <f>IF($T$11&gt;$T$12,$U$11+(($V$34-$G$22)*$M$20),$U$12-($V$34*$M$20))</f>
        <v>0</v>
      </c>
      <c r="Y34" s="394">
        <f>$C$16</f>
        <v>0</v>
      </c>
      <c r="AA34" s="364" t="s">
        <v>674</v>
      </c>
      <c r="AB34" s="402" t="str">
        <f>IF(OR($B$17="",$B$16="",$C$17="",$C$16=""),"",($C$16-$C$17)/($B$16-$B$17))</f>
        <v/>
      </c>
      <c r="AC34" s="354"/>
      <c r="AD34" s="354"/>
      <c r="AE34" s="348"/>
      <c r="AG34" s="982" t="s">
        <v>598</v>
      </c>
      <c r="AH34" s="983"/>
      <c r="AI34" s="336"/>
      <c r="AJ34" s="328"/>
      <c r="AK34" s="315"/>
      <c r="AL34" s="134"/>
      <c r="AM34" s="134"/>
      <c r="AN34" s="134"/>
      <c r="AO34" s="134"/>
      <c r="AP34" s="316"/>
      <c r="AR34" s="982" t="s">
        <v>598</v>
      </c>
      <c r="AS34" s="983"/>
      <c r="AT34" s="336"/>
      <c r="AU34" s="328"/>
      <c r="AV34" s="315"/>
      <c r="AW34" s="134"/>
      <c r="AX34" s="134"/>
      <c r="AY34" s="134"/>
      <c r="AZ34" s="134"/>
      <c r="BA34" s="316"/>
      <c r="BC34" s="545">
        <v>25</v>
      </c>
      <c r="BD34" s="344">
        <f t="shared" si="5"/>
        <v>0</v>
      </c>
      <c r="BE34" s="330" t="e">
        <f t="shared" si="2"/>
        <v>#DIV/0!</v>
      </c>
      <c r="BF34" s="330" t="e">
        <f t="shared" si="6"/>
        <v>#DIV/0!</v>
      </c>
      <c r="BG34" s="330" t="e">
        <f t="shared" si="7"/>
        <v>#DIV/0!</v>
      </c>
      <c r="BH34" s="330" t="e">
        <f t="shared" si="3"/>
        <v>#DIV/0!</v>
      </c>
      <c r="BI34" s="330" t="e">
        <f t="shared" si="4"/>
        <v>#DIV/0!</v>
      </c>
      <c r="BJ34" s="330" t="e">
        <f t="shared" si="8"/>
        <v>#DIV/0!</v>
      </c>
      <c r="BK34" s="330" t="e">
        <f t="shared" si="9"/>
        <v>#DIV/0!</v>
      </c>
      <c r="BL34" s="330" t="e">
        <f t="shared" si="10"/>
        <v>#DIV/0!</v>
      </c>
      <c r="BM34" s="330" t="e">
        <f t="shared" si="11"/>
        <v>#DIV/0!</v>
      </c>
      <c r="BN34" s="330" t="e">
        <f t="shared" si="12"/>
        <v>#DIV/0!</v>
      </c>
      <c r="BO34" s="432" t="e">
        <f t="shared" si="13"/>
        <v>#DIV/0!</v>
      </c>
    </row>
    <row r="35" spans="1:72" ht="15.6" customHeight="1">
      <c r="A35" s="682"/>
      <c r="B35" s="683"/>
      <c r="C35" s="684"/>
      <c r="D35" s="684"/>
      <c r="E35" s="685"/>
      <c r="F35" s="677"/>
      <c r="G35" s="677"/>
      <c r="H35" s="680"/>
      <c r="I35" s="657"/>
      <c r="J35" s="657"/>
      <c r="K35" s="421"/>
      <c r="N35" s="1"/>
      <c r="O35" s="18"/>
      <c r="P35" s="18"/>
      <c r="Q35" s="18"/>
      <c r="R35" s="18"/>
      <c r="S35" s="364" t="s">
        <v>679</v>
      </c>
      <c r="T35" s="348" t="str">
        <f>IF(OR($F$25="",$G$25=""),"No",IF(AND(MAX($U$38:$U$39)&gt;$B$16,MIN($U$38:$U$39)&lt;$B$16),"Yes","No"))</f>
        <v>No</v>
      </c>
      <c r="U35" s="348">
        <f>$B$16</f>
        <v>0</v>
      </c>
      <c r="V35" s="336">
        <f>IF(OR($B$25=0,$B$25=180,$B$25=360),0,IF($T$11&lt;$T$12,$G$22+((($B$16-$T$11)/ABS($M$17))/$M$19),(($B$16-$T$12)/ABS($M$17))/$M$19))</f>
        <v>0</v>
      </c>
      <c r="W35" s="336">
        <f t="shared" si="18"/>
        <v>0</v>
      </c>
      <c r="X35" s="348">
        <f>IF($T$11&lt;$T$12,$U$11+(($V$35-$G$22)*$M$20),$U$12-($V$35*$M$20))</f>
        <v>0</v>
      </c>
      <c r="Y35" s="394">
        <f>$C$16</f>
        <v>0</v>
      </c>
      <c r="AA35" s="364" t="s">
        <v>477</v>
      </c>
      <c r="AB35" s="391" t="str">
        <f>IF(OR($B$18="",$B$17="",$C$18="",$C$17=""),"",($C$18-$C$17)/($B$18-$B$17))</f>
        <v/>
      </c>
      <c r="AC35" s="354"/>
      <c r="AD35" s="354"/>
      <c r="AE35" s="348"/>
      <c r="AG35" s="317"/>
      <c r="AH35" s="134"/>
      <c r="AI35" s="318" t="s">
        <v>588</v>
      </c>
      <c r="AJ35" s="319" t="s">
        <v>604</v>
      </c>
      <c r="AK35" s="315"/>
      <c r="AL35" s="134"/>
      <c r="AM35" s="134"/>
      <c r="AN35" s="134"/>
      <c r="AO35" s="134"/>
      <c r="AP35" s="316"/>
      <c r="AR35" s="317"/>
      <c r="AS35" s="134"/>
      <c r="AT35" s="318" t="s">
        <v>588</v>
      </c>
      <c r="AU35" s="319" t="s">
        <v>604</v>
      </c>
      <c r="AV35" s="315"/>
      <c r="AW35" s="134"/>
      <c r="AX35" s="134"/>
      <c r="AY35" s="134"/>
      <c r="AZ35" s="134"/>
      <c r="BA35" s="316"/>
      <c r="BC35" s="545">
        <v>26</v>
      </c>
      <c r="BD35" s="344">
        <f t="shared" si="5"/>
        <v>0</v>
      </c>
      <c r="BE35" s="330" t="e">
        <f t="shared" si="2"/>
        <v>#DIV/0!</v>
      </c>
      <c r="BF35" s="330" t="e">
        <f t="shared" si="6"/>
        <v>#DIV/0!</v>
      </c>
      <c r="BG35" s="330" t="e">
        <f t="shared" si="7"/>
        <v>#DIV/0!</v>
      </c>
      <c r="BH35" s="330" t="e">
        <f t="shared" si="3"/>
        <v>#DIV/0!</v>
      </c>
      <c r="BI35" s="330" t="e">
        <f t="shared" si="4"/>
        <v>#DIV/0!</v>
      </c>
      <c r="BJ35" s="330" t="e">
        <f t="shared" si="8"/>
        <v>#DIV/0!</v>
      </c>
      <c r="BK35" s="330" t="e">
        <f t="shared" si="9"/>
        <v>#DIV/0!</v>
      </c>
      <c r="BL35" s="330" t="e">
        <f t="shared" si="10"/>
        <v>#DIV/0!</v>
      </c>
      <c r="BM35" s="330" t="e">
        <f t="shared" si="11"/>
        <v>#DIV/0!</v>
      </c>
      <c r="BN35" s="330" t="e">
        <f t="shared" si="12"/>
        <v>#DIV/0!</v>
      </c>
      <c r="BO35" s="432" t="e">
        <f t="shared" si="13"/>
        <v>#DIV/0!</v>
      </c>
    </row>
    <row r="36" spans="1:72" ht="17.45" customHeight="1" thickBot="1">
      <c r="A36" s="682"/>
      <c r="B36" s="683"/>
      <c r="C36" s="684"/>
      <c r="D36" s="684"/>
      <c r="E36" s="685"/>
      <c r="F36" s="677"/>
      <c r="G36" s="677"/>
      <c r="H36" s="680"/>
      <c r="I36" s="657"/>
      <c r="J36" s="657"/>
      <c r="K36" s="421"/>
      <c r="N36" s="28"/>
      <c r="O36" s="18"/>
      <c r="P36" s="18"/>
      <c r="Q36" s="18"/>
      <c r="R36" s="269"/>
      <c r="S36" s="364" t="s">
        <v>643</v>
      </c>
      <c r="T36" s="348" t="str">
        <f>IF(OR($F$25="",$G$25=""),"No",IF(MAX($U$38:$U$39)&lt;$B$17,"No",IF(MIN($U$38:$U$39)&gt;$B$17,"No","Yes")))</f>
        <v>No</v>
      </c>
      <c r="U36" s="348">
        <f>$B$17</f>
        <v>0</v>
      </c>
      <c r="V36" s="336">
        <f>IF(OR($B$25=0,$B$25=180,$B$25=360),0,IF($T$11&lt;$T$12,$G$22+((($B$17-$T$11)/ABS($M$17))/$M$19),(($B$17-$T$12)/ABS($M$17))/$M$19))</f>
        <v>0</v>
      </c>
      <c r="W36" s="336">
        <f t="shared" si="18"/>
        <v>0</v>
      </c>
      <c r="X36" s="348">
        <f>IF($T$11&lt;$T$12,$U$11+(($V$36-$G$22)*$M$20),$U$12-($V$36*$M$20))</f>
        <v>0</v>
      </c>
      <c r="Y36" s="394">
        <f>$C$17</f>
        <v>0</v>
      </c>
      <c r="AA36" s="365" t="s">
        <v>548</v>
      </c>
      <c r="AB36" s="392" t="str">
        <f>IF(OR($B$19="",$B$18="",$C$19="",$C$18=""),"",($C$19-$C$18)/($B$19-$B$18))</f>
        <v/>
      </c>
      <c r="AC36" s="354"/>
      <c r="AD36" s="354"/>
      <c r="AE36" s="348"/>
      <c r="AG36" s="317"/>
      <c r="AH36" s="134"/>
      <c r="AI36" s="315"/>
      <c r="AJ36" s="319" t="s">
        <v>605</v>
      </c>
      <c r="AK36" s="315"/>
      <c r="AL36" s="134"/>
      <c r="AM36" s="134"/>
      <c r="AN36" s="134"/>
      <c r="AO36" s="134"/>
      <c r="AP36" s="316"/>
      <c r="AR36" s="317"/>
      <c r="AS36" s="134"/>
      <c r="AT36" s="315"/>
      <c r="AU36" s="319" t="s">
        <v>605</v>
      </c>
      <c r="AV36" s="315"/>
      <c r="AW36" s="134"/>
      <c r="AX36" s="134"/>
      <c r="AY36" s="134"/>
      <c r="AZ36" s="134"/>
      <c r="BA36" s="316"/>
      <c r="BC36" s="545">
        <v>27</v>
      </c>
      <c r="BD36" s="344">
        <f t="shared" si="5"/>
        <v>0</v>
      </c>
      <c r="BE36" s="330" t="e">
        <f t="shared" si="2"/>
        <v>#DIV/0!</v>
      </c>
      <c r="BF36" s="330" t="e">
        <f t="shared" si="6"/>
        <v>#DIV/0!</v>
      </c>
      <c r="BG36" s="330" t="e">
        <f t="shared" si="7"/>
        <v>#DIV/0!</v>
      </c>
      <c r="BH36" s="330" t="e">
        <f t="shared" si="3"/>
        <v>#DIV/0!</v>
      </c>
      <c r="BI36" s="330" t="e">
        <f t="shared" si="4"/>
        <v>#DIV/0!</v>
      </c>
      <c r="BJ36" s="330" t="e">
        <f t="shared" si="8"/>
        <v>#DIV/0!</v>
      </c>
      <c r="BK36" s="330" t="e">
        <f t="shared" si="9"/>
        <v>#DIV/0!</v>
      </c>
      <c r="BL36" s="330" t="e">
        <f t="shared" si="10"/>
        <v>#DIV/0!</v>
      </c>
      <c r="BM36" s="330" t="e">
        <f t="shared" si="11"/>
        <v>#DIV/0!</v>
      </c>
      <c r="BN36" s="330" t="e">
        <f t="shared" si="12"/>
        <v>#DIV/0!</v>
      </c>
      <c r="BO36" s="432" t="e">
        <f t="shared" si="13"/>
        <v>#DIV/0!</v>
      </c>
    </row>
    <row r="37" spans="1:72" ht="15.6" customHeight="1" thickBot="1">
      <c r="A37" s="682"/>
      <c r="B37" s="683"/>
      <c r="C37" s="684"/>
      <c r="D37" s="684"/>
      <c r="E37" s="685"/>
      <c r="F37" s="677"/>
      <c r="G37" s="677"/>
      <c r="H37" s="680"/>
      <c r="I37" s="657"/>
      <c r="J37" s="657"/>
      <c r="K37" s="421"/>
      <c r="N37" s="50"/>
      <c r="O37" s="18"/>
      <c r="P37" s="18"/>
      <c r="Q37" s="18"/>
      <c r="R37" s="18"/>
      <c r="S37" s="416" t="s">
        <v>645</v>
      </c>
      <c r="T37" s="417" t="str">
        <f>IF(OR($F$25="",$G$25=""),"No",IF(MAX($U$38:$U$39)&lt;$B$18,"No",IF(MIN($U$38:$U$39)&gt;$B$18,"No","Yes")))</f>
        <v>No</v>
      </c>
      <c r="U37" s="417">
        <f>$B$18</f>
        <v>0</v>
      </c>
      <c r="V37" s="418">
        <f>IF(OR($B$25=0,$B$25=180,$B$25=360),0,IF($T$11&lt;$T$12,$G$22+((($B$18-$T$11)/ABS($M$17))/$M$19),(($B$18-$T$12)/ABS($M$17))/$M$19))</f>
        <v>0</v>
      </c>
      <c r="W37" s="418">
        <f t="shared" si="18"/>
        <v>0</v>
      </c>
      <c r="X37" s="417">
        <f>IF($T$11&lt;$T$12,$U$11+(($V$37-$G$22)*$M$20),$U$12-($V$37*$M$20))</f>
        <v>0</v>
      </c>
      <c r="Y37" s="419">
        <f>$C$18</f>
        <v>0</v>
      </c>
      <c r="AC37" s="354"/>
      <c r="AD37" s="354"/>
      <c r="AE37" s="348"/>
      <c r="AG37" s="317"/>
      <c r="AH37" s="134"/>
      <c r="AI37" s="323" t="s">
        <v>606</v>
      </c>
      <c r="AJ37" s="324" t="e">
        <f>IF($AI$16="","",$AW$17-(($AI$13/$AI$12)*($AI$7^3)*(SIN($AI$16)-($AI$16*COS($AI$16))-((1/3)*(SIN($AI$16))^3))))</f>
        <v>#DIV/0!</v>
      </c>
      <c r="AK37" s="325" t="s">
        <v>614</v>
      </c>
      <c r="AL37" s="134"/>
      <c r="AM37" s="134"/>
      <c r="AN37" s="134"/>
      <c r="AO37" s="134"/>
      <c r="AP37" s="316"/>
      <c r="AR37" s="317"/>
      <c r="AS37" s="134"/>
      <c r="AT37" s="323" t="s">
        <v>606</v>
      </c>
      <c r="AU37" s="324" t="e">
        <f>IF($AT$16="","",$AW$17-(($AT$13/$AT$12)*($AT$7^3)*(SIN($AT$16)-($AT$16*COS($AT$16))-((1/3)*(SIN($AT$16))^3))))</f>
        <v>#DIV/0!</v>
      </c>
      <c r="AV37" s="325" t="s">
        <v>614</v>
      </c>
      <c r="AW37" s="134"/>
      <c r="AX37" s="134"/>
      <c r="AY37" s="134"/>
      <c r="AZ37" s="134"/>
      <c r="BA37" s="316"/>
      <c r="BC37" s="545">
        <v>28</v>
      </c>
      <c r="BD37" s="344">
        <f t="shared" si="5"/>
        <v>0</v>
      </c>
      <c r="BE37" s="330" t="e">
        <f t="shared" si="2"/>
        <v>#DIV/0!</v>
      </c>
      <c r="BF37" s="330" t="e">
        <f t="shared" si="6"/>
        <v>#DIV/0!</v>
      </c>
      <c r="BG37" s="330" t="e">
        <f t="shared" si="7"/>
        <v>#DIV/0!</v>
      </c>
      <c r="BH37" s="330" t="e">
        <f t="shared" si="3"/>
        <v>#DIV/0!</v>
      </c>
      <c r="BI37" s="330" t="e">
        <f t="shared" si="4"/>
        <v>#DIV/0!</v>
      </c>
      <c r="BJ37" s="330" t="e">
        <f t="shared" si="8"/>
        <v>#DIV/0!</v>
      </c>
      <c r="BK37" s="330" t="e">
        <f t="shared" si="9"/>
        <v>#DIV/0!</v>
      </c>
      <c r="BL37" s="330" t="e">
        <f t="shared" si="10"/>
        <v>#DIV/0!</v>
      </c>
      <c r="BM37" s="330" t="e">
        <f t="shared" si="11"/>
        <v>#DIV/0!</v>
      </c>
      <c r="BN37" s="330" t="e">
        <f t="shared" si="12"/>
        <v>#DIV/0!</v>
      </c>
      <c r="BO37" s="432" t="e">
        <f t="shared" si="13"/>
        <v>#DIV/0!</v>
      </c>
    </row>
    <row r="38" spans="1:72" ht="15.6" customHeight="1">
      <c r="A38" s="682"/>
      <c r="B38" s="683"/>
      <c r="C38" s="684"/>
      <c r="D38" s="684"/>
      <c r="E38" s="685"/>
      <c r="F38" s="677"/>
      <c r="G38" s="677"/>
      <c r="H38" s="680"/>
      <c r="I38" s="657"/>
      <c r="J38" s="657"/>
      <c r="K38" s="421"/>
      <c r="N38" s="50"/>
      <c r="O38" s="18"/>
      <c r="P38" s="18"/>
      <c r="Q38" s="18"/>
      <c r="R38" s="18"/>
      <c r="S38" s="364" t="s">
        <v>672</v>
      </c>
      <c r="T38" s="348" t="str">
        <f t="shared" ref="T38:T43" si="19">IF(OR($F$25="",$G$25=""),"No","Yes")</f>
        <v>No</v>
      </c>
      <c r="U38" s="395">
        <f>IF($T$38="No",0,IF($U$12&lt;=$U$11,$T$12,$T$11-($G$22*$M$19*$M$17)))</f>
        <v>0</v>
      </c>
      <c r="V38" s="348">
        <v>0</v>
      </c>
      <c r="W38" s="348">
        <f t="shared" si="18"/>
        <v>0</v>
      </c>
      <c r="X38" s="395">
        <f>IF($T$38="No",0,IF($U$12&lt;=$U$11,$U$12,$U$11-($G$22*$M$20)))</f>
        <v>0</v>
      </c>
      <c r="Y38" s="394" t="b">
        <f>IF($T$38="","",IF($U$38&lt;$B$14,(($U$38-$B$13)*$AB$31)+$C$13,IF($U$38&lt;$B$15,(($U$38-$B$14)*$AB$32)+$C$14,IF($U$38&lt;$B$16,(($U$38-$B$15)*$AB$33)+$C$15,IF($U$38&lt;$B$17,(($U$38-$B$16)*$AB$34)+$C$16,IF($U$38&lt;$B$18,(($U$38-$B$17)*$AB$35)+$C$17,IF($U$38&lt;$B$19,(($U$38-$B$18)*$AB$36)+$C$18)))))))</f>
        <v>0</v>
      </c>
      <c r="Z38" s="348"/>
      <c r="AA38" s="963" t="s">
        <v>684</v>
      </c>
      <c r="AB38" s="1016" t="s">
        <v>730</v>
      </c>
      <c r="AC38" s="354"/>
      <c r="AD38" s="354"/>
      <c r="AE38" s="348"/>
      <c r="AG38" s="317"/>
      <c r="AH38" s="134"/>
      <c r="AI38" s="134"/>
      <c r="AJ38" s="134"/>
      <c r="AK38" s="134"/>
      <c r="AL38" s="134"/>
      <c r="AM38" s="134"/>
      <c r="AN38" s="134"/>
      <c r="AO38" s="134"/>
      <c r="AP38" s="316"/>
      <c r="AR38" s="317"/>
      <c r="AS38" s="134"/>
      <c r="AT38" s="134"/>
      <c r="AU38" s="134"/>
      <c r="AV38" s="134"/>
      <c r="AW38" s="134"/>
      <c r="AX38" s="134"/>
      <c r="AY38" s="134"/>
      <c r="AZ38" s="134"/>
      <c r="BA38" s="316"/>
      <c r="BC38" s="545">
        <v>29</v>
      </c>
      <c r="BD38" s="344">
        <f t="shared" si="5"/>
        <v>0</v>
      </c>
      <c r="BE38" s="330" t="e">
        <f t="shared" si="2"/>
        <v>#DIV/0!</v>
      </c>
      <c r="BF38" s="330" t="e">
        <f t="shared" si="6"/>
        <v>#DIV/0!</v>
      </c>
      <c r="BG38" s="330" t="e">
        <f t="shared" si="7"/>
        <v>#DIV/0!</v>
      </c>
      <c r="BH38" s="330" t="e">
        <f t="shared" si="3"/>
        <v>#DIV/0!</v>
      </c>
      <c r="BI38" s="330" t="e">
        <f t="shared" si="4"/>
        <v>#DIV/0!</v>
      </c>
      <c r="BJ38" s="330" t="e">
        <f t="shared" si="8"/>
        <v>#DIV/0!</v>
      </c>
      <c r="BK38" s="330" t="e">
        <f t="shared" si="9"/>
        <v>#DIV/0!</v>
      </c>
      <c r="BL38" s="330" t="e">
        <f t="shared" si="10"/>
        <v>#DIV/0!</v>
      </c>
      <c r="BM38" s="330" t="e">
        <f t="shared" si="11"/>
        <v>#DIV/0!</v>
      </c>
      <c r="BN38" s="330" t="e">
        <f t="shared" si="12"/>
        <v>#DIV/0!</v>
      </c>
      <c r="BO38" s="432" t="e">
        <f t="shared" si="13"/>
        <v>#DIV/0!</v>
      </c>
      <c r="BR38" s="379" t="s">
        <v>705</v>
      </c>
      <c r="BS38" s="367" t="s">
        <v>707</v>
      </c>
      <c r="BT38" s="393" t="s">
        <v>1044</v>
      </c>
    </row>
    <row r="39" spans="1:72" ht="16.149999999999999" customHeight="1" thickBot="1">
      <c r="A39" s="682"/>
      <c r="B39" s="683"/>
      <c r="C39" s="684"/>
      <c r="D39" s="684"/>
      <c r="E39" s="685"/>
      <c r="F39" s="677"/>
      <c r="G39" s="677"/>
      <c r="H39" s="680"/>
      <c r="I39" s="657"/>
      <c r="J39" s="657"/>
      <c r="K39" s="421"/>
      <c r="N39" s="15"/>
      <c r="O39" s="18"/>
      <c r="P39" s="18"/>
      <c r="Q39" s="18"/>
      <c r="R39" s="18"/>
      <c r="S39" s="364" t="s">
        <v>673</v>
      </c>
      <c r="T39" s="348" t="str">
        <f t="shared" si="19"/>
        <v>No</v>
      </c>
      <c r="U39" s="395">
        <f>IF($T$39="No",0,IF($U$12&gt;$U$11,$T$12,$T$11-($G$22*$M$19*$M$17)))</f>
        <v>0</v>
      </c>
      <c r="V39" s="348">
        <f>IF($T$39="No",0,$E$22)</f>
        <v>0</v>
      </c>
      <c r="W39" s="348">
        <f t="shared" si="18"/>
        <v>0</v>
      </c>
      <c r="X39" s="395">
        <f>IF($T$39="No",0,IF($U$12&gt;=$U$11,$U$12,$U$11-($G$22*$M$20)))</f>
        <v>0</v>
      </c>
      <c r="Y39" s="394" t="b">
        <f>IF($T$39="","",IF($U$39&lt;$B$14,(($U$39-$B$13)*$AB$31)+$C$13,IF($U$39&lt;$B$15,(($U$39-$B$14)*$AB$32)+$C$14,IF($U$39&lt;$B$16,(($U$39-$B$15)*$AB$33)+$C$15,IF($U$39&lt;$B$17,(($U$39-$B$16)*$AB$34)+$C$16,IF($U$39&lt;$B$18,(($U$39-$B$17)*$AB$35)+$C$17,IF($U$39&lt;$B$19,(($U$39-$B$18)*$AB$36)+$C$18)))))))</f>
        <v>0</v>
      </c>
      <c r="Z39" s="268"/>
      <c r="AA39" s="994"/>
      <c r="AB39" s="1017"/>
      <c r="AC39" s="354"/>
      <c r="AD39" s="354"/>
      <c r="AE39" s="348"/>
      <c r="AG39" s="337"/>
      <c r="AH39" s="338"/>
      <c r="AI39" s="980" t="s">
        <v>607</v>
      </c>
      <c r="AJ39" s="981"/>
      <c r="AK39" s="981"/>
      <c r="AL39" s="981"/>
      <c r="AM39" s="339" t="s">
        <v>593</v>
      </c>
      <c r="AN39" s="338"/>
      <c r="AO39" s="338"/>
      <c r="AP39" s="340"/>
      <c r="AR39" s="337"/>
      <c r="AS39" s="338"/>
      <c r="AT39" s="980" t="s">
        <v>607</v>
      </c>
      <c r="AU39" s="981"/>
      <c r="AV39" s="981"/>
      <c r="AW39" s="981"/>
      <c r="AX39" s="339" t="s">
        <v>593</v>
      </c>
      <c r="AY39" s="338"/>
      <c r="AZ39" s="338"/>
      <c r="BA39" s="340"/>
      <c r="BC39" s="545">
        <v>30</v>
      </c>
      <c r="BD39" s="344">
        <f t="shared" si="5"/>
        <v>0</v>
      </c>
      <c r="BE39" s="330" t="e">
        <f t="shared" si="2"/>
        <v>#DIV/0!</v>
      </c>
      <c r="BF39" s="330" t="e">
        <f t="shared" si="6"/>
        <v>#DIV/0!</v>
      </c>
      <c r="BG39" s="330" t="e">
        <f t="shared" si="7"/>
        <v>#DIV/0!</v>
      </c>
      <c r="BH39" s="330" t="e">
        <f t="shared" si="3"/>
        <v>#DIV/0!</v>
      </c>
      <c r="BI39" s="330" t="e">
        <f t="shared" si="4"/>
        <v>#DIV/0!</v>
      </c>
      <c r="BJ39" s="330" t="e">
        <f t="shared" si="8"/>
        <v>#DIV/0!</v>
      </c>
      <c r="BK39" s="330" t="e">
        <f t="shared" si="9"/>
        <v>#DIV/0!</v>
      </c>
      <c r="BL39" s="330" t="e">
        <f t="shared" si="10"/>
        <v>#DIV/0!</v>
      </c>
      <c r="BM39" s="330" t="e">
        <f t="shared" si="11"/>
        <v>#DIV/0!</v>
      </c>
      <c r="BN39" s="330" t="e">
        <f t="shared" si="12"/>
        <v>#DIV/0!</v>
      </c>
      <c r="BO39" s="432" t="e">
        <f t="shared" si="13"/>
        <v>#DIV/0!</v>
      </c>
      <c r="BR39" s="630">
        <f>MAX($BS$45:$BS$245)</f>
        <v>0</v>
      </c>
      <c r="BS39" s="433">
        <f>MIN($BS$45:$BS$245)</f>
        <v>0</v>
      </c>
      <c r="BT39" s="798">
        <f>IF($BS$43=0,0,IF(AND($BS$39=0,$BR$39=$E$22),($BR$39+$BS$39)/2,IF($BS$39=0,$BR$39-((1/3)*($BR$39-$BS$39)),IF($BR$39=$E$22,$BR$39-((2/3)*($BR$39-$BS$39)),($BR$39+$BS$39)/2))))</f>
        <v>0</v>
      </c>
    </row>
    <row r="40" spans="1:72" ht="13.5" thickBot="1">
      <c r="A40" s="682"/>
      <c r="B40" s="683"/>
      <c r="C40" s="684"/>
      <c r="D40" s="684"/>
      <c r="E40" s="685"/>
      <c r="F40" s="677"/>
      <c r="G40" s="677"/>
      <c r="H40" s="680"/>
      <c r="I40" s="657"/>
      <c r="J40" s="657"/>
      <c r="K40" s="421"/>
      <c r="N40" s="20"/>
      <c r="O40" s="18"/>
      <c r="P40" s="18"/>
      <c r="Q40" s="18"/>
      <c r="R40" s="18"/>
      <c r="S40" s="364" t="s">
        <v>689</v>
      </c>
      <c r="T40" s="348" t="str">
        <f t="shared" si="19"/>
        <v>No</v>
      </c>
      <c r="U40" s="395">
        <f>IF($T$40="No",0,IF($U$13&lt;=$U$14,$T$13,$T$14-($G$22*$M$19*$M$17)))</f>
        <v>0</v>
      </c>
      <c r="V40" s="348">
        <v>0</v>
      </c>
      <c r="W40" s="348">
        <f t="shared" si="18"/>
        <v>0</v>
      </c>
      <c r="X40" s="395">
        <f>IF($T$40="No",0,IF($U$13&lt;=$U$14,$U$13,$U$14-($G$22*$M$20)))</f>
        <v>0</v>
      </c>
      <c r="Y40" s="394" t="b">
        <f>IF($T$40="","",IF($U$40&lt;$B$14,(($U$40-$B$13)*$AB$31)+$C$13,IF($U$40&lt;$B$15,(($U$40-$B$14)*$AB$32)+$C$14,IF($U$40&lt;$B$16,(($U$40-$B$15)*$AB$33)+$C$15,IF($U$40&lt;$B$17,(($U$40-$B$16)*$AB$34)+$C$16,IF($U$40&lt;$B$18,(($U$40-$B$17)*$AB$35)+$C$17,IF($U$40&lt;$B$19,(($U$40-$B$18)*$AB$36)+$C$18)))))))</f>
        <v>0</v>
      </c>
      <c r="AA40" s="427">
        <f>IF(OR($B$25=0,$B$25=180,$B$25=360),($U$11-$U$12)/0.001,IF($X$38=$X$39,1E-25,($U$11-$U$12)/($T$11-$T$12)))</f>
        <v>0</v>
      </c>
      <c r="AB40" s="423">
        <f>IF(OR($B$25=0,$B$25=180,$B$25=360),9999,IF($X$38=$X$39,1E-25,($U$12-$U$13)/($T$12-$T$13)))</f>
        <v>9999</v>
      </c>
      <c r="AF40" s="49"/>
      <c r="AH40" s="6"/>
      <c r="AM40" s="273"/>
      <c r="AN40" s="273"/>
      <c r="AO40" s="273"/>
      <c r="AP40" s="273"/>
      <c r="AQ40" s="315"/>
      <c r="AR40" s="452"/>
      <c r="AS40" s="348"/>
      <c r="AT40" s="315"/>
      <c r="AU40" s="315"/>
      <c r="AV40" s="134"/>
      <c r="BC40" s="413" t="s">
        <v>457</v>
      </c>
      <c r="BD40" s="355"/>
      <c r="BE40" s="355"/>
      <c r="BF40" s="355"/>
      <c r="BG40" s="547" t="e">
        <f>SUM(BG10:BG39)</f>
        <v>#DIV/0!</v>
      </c>
      <c r="BH40" s="355"/>
      <c r="BI40" s="355"/>
      <c r="BJ40" s="338"/>
      <c r="BK40" s="338"/>
      <c r="BL40" s="547" t="e">
        <f>SUM($BL$10:$BL$39)</f>
        <v>#DIV/0!</v>
      </c>
      <c r="BM40" s="355"/>
      <c r="BN40" s="355"/>
      <c r="BO40" s="548" t="e">
        <f>SUM($BO$10:$BO$39)</f>
        <v>#DIV/0!</v>
      </c>
    </row>
    <row r="41" spans="1:72" ht="16.899999999999999" customHeight="1" thickBot="1">
      <c r="A41" s="682"/>
      <c r="B41" s="683"/>
      <c r="C41" s="684"/>
      <c r="D41" s="684"/>
      <c r="E41" s="685"/>
      <c r="F41" s="677"/>
      <c r="G41" s="677"/>
      <c r="H41" s="680"/>
      <c r="I41" s="657"/>
      <c r="J41" s="657"/>
      <c r="K41" s="421"/>
      <c r="P41" s="18"/>
      <c r="Q41" s="18"/>
      <c r="R41" s="18"/>
      <c r="S41" s="364" t="s">
        <v>690</v>
      </c>
      <c r="T41" s="348" t="str">
        <f t="shared" si="19"/>
        <v>No</v>
      </c>
      <c r="U41" s="395">
        <f>IF($T$41="No",0,IF($U$13&gt;$U$14,$T$13,$T$14-($G$22*$M$19*$M$17)))</f>
        <v>0</v>
      </c>
      <c r="V41" s="348">
        <f>IF($T$41="No",0,$E$22)</f>
        <v>0</v>
      </c>
      <c r="W41" s="348">
        <f t="shared" si="18"/>
        <v>0</v>
      </c>
      <c r="X41" s="395">
        <f>IF($T$41="No",0,IF($U$13&gt;=$U$14,$U$13,$U$14-($G$22*$M$20)))</f>
        <v>0</v>
      </c>
      <c r="Y41" s="394" t="b">
        <f>IF($T$41="","",IF($U$41&lt;$B$14,(($U$41-$B$13)*$AB$31)+$C$13,IF($U$41&lt;$B$15,(($U$41-$B$14)*$AB$32)+$C$14,IF($U$41&lt;$B$16,(($U$41-$B$15)*$AB$33)+$C$15,IF($U$41&lt;$B$17,(($U$41-$B$16)*$AB$34)+$C$16,IF($U$41&lt;$B$18,(($U$41-$B$17)*$AB$35)+$C$17,IF($U$41&lt;$B$19,(($U$41-$B$18)*$AB$36)+$C$18)))))))</f>
        <v>0</v>
      </c>
      <c r="AD41" s="410"/>
      <c r="AM41" s="348"/>
      <c r="AN41" s="431"/>
      <c r="AQ41" s="331"/>
      <c r="AR41" s="354"/>
      <c r="AS41" s="318" t="s">
        <v>21</v>
      </c>
      <c r="AT41" s="348">
        <f>IF(AT42=0,0,AVERAGE(AT45:AT245))</f>
        <v>0</v>
      </c>
      <c r="AU41" s="348">
        <f>IF(AU42=0,0,AVERAGE(AU45:AU245))</f>
        <v>0</v>
      </c>
      <c r="BO41" s="6"/>
    </row>
    <row r="42" spans="1:72" ht="16.899999999999999" customHeight="1">
      <c r="A42" s="682"/>
      <c r="B42" s="683"/>
      <c r="C42" s="684"/>
      <c r="D42" s="684"/>
      <c r="E42" s="685"/>
      <c r="F42" s="677"/>
      <c r="G42" s="677"/>
      <c r="H42" s="680"/>
      <c r="I42" s="657"/>
      <c r="J42" s="657"/>
      <c r="K42" s="421"/>
      <c r="P42" s="18"/>
      <c r="Q42" s="18"/>
      <c r="R42" s="18"/>
      <c r="S42" s="364" t="s">
        <v>696</v>
      </c>
      <c r="T42" s="348" t="str">
        <f t="shared" si="19"/>
        <v>No</v>
      </c>
      <c r="U42" s="395">
        <f>IF($T$42="No",0,AVERAGE($U$38,$U$40))</f>
        <v>0</v>
      </c>
      <c r="V42" s="348">
        <v>0</v>
      </c>
      <c r="W42" s="348">
        <f t="shared" si="18"/>
        <v>0</v>
      </c>
      <c r="X42" s="395">
        <f>IF($T$42="No",0,AVERAGE($X$38,$X$40))</f>
        <v>0</v>
      </c>
      <c r="Y42" s="394" t="b">
        <f>IF($T$42="","",IF($U$42&lt;$B$14,(($U$42-$B$13)*$AB$31)+$C$13,IF($U$42&lt;$B$15,(($U$42-$B$14)*$AB$32)+$C$14,IF($U$42&lt;$B$16,(($U$42-$B$15)*$AB$33)+$C$15,IF($U$42&lt;$B$17,(($U$42-$B$16)*$AB$34)+$C$16,IF($U$42&lt;$B$18,(($U$42-$B$17)*$AB$35)+$C$17,IF($U$42&lt;$B$19,(($U$42-$B$18)*$AB$36)+$C$18)))))))</f>
        <v>0</v>
      </c>
      <c r="AA42" s="268"/>
      <c r="AI42" s="1025" t="s">
        <v>961</v>
      </c>
      <c r="AJ42" s="1026"/>
      <c r="AK42" s="1026"/>
      <c r="AL42" s="964"/>
      <c r="AM42" s="964"/>
      <c r="AN42" s="312"/>
      <c r="AO42" s="434"/>
      <c r="AP42" s="312"/>
      <c r="AQ42" s="442"/>
      <c r="AR42" s="443"/>
      <c r="AS42" s="313" t="s">
        <v>705</v>
      </c>
      <c r="AT42" s="441">
        <f>MAX(AT45:AT245)</f>
        <v>0</v>
      </c>
      <c r="AU42" s="441">
        <f>MAX(AU45:AU245)</f>
        <v>0</v>
      </c>
      <c r="AV42" s="312"/>
      <c r="AW42" s="312"/>
      <c r="AX42" s="312"/>
      <c r="AY42" s="440" t="s">
        <v>457</v>
      </c>
      <c r="AZ42" s="440" t="s">
        <v>457</v>
      </c>
      <c r="BA42" s="440" t="s">
        <v>457</v>
      </c>
      <c r="BB42" s="440" t="s">
        <v>457</v>
      </c>
      <c r="BC42" s="440" t="s">
        <v>457</v>
      </c>
      <c r="BD42" s="312"/>
      <c r="BE42" s="440" t="s">
        <v>457</v>
      </c>
      <c r="BF42" s="440"/>
      <c r="BG42" s="440" t="s">
        <v>457</v>
      </c>
      <c r="BH42" s="440" t="s">
        <v>457</v>
      </c>
      <c r="BI42" s="440" t="s">
        <v>21</v>
      </c>
      <c r="BJ42" s="440"/>
      <c r="BK42" s="440" t="s">
        <v>21</v>
      </c>
      <c r="BL42" s="440" t="s">
        <v>21</v>
      </c>
      <c r="BM42" s="440" t="s">
        <v>21</v>
      </c>
      <c r="BN42" s="440" t="s">
        <v>21</v>
      </c>
      <c r="BO42" s="440" t="s">
        <v>457</v>
      </c>
      <c r="BP42" s="440" t="s">
        <v>457</v>
      </c>
      <c r="BQ42" s="440" t="s">
        <v>457</v>
      </c>
      <c r="BR42" s="440" t="s">
        <v>21</v>
      </c>
      <c r="BS42" s="616" t="s">
        <v>21</v>
      </c>
    </row>
    <row r="43" spans="1:72" ht="19.149999999999999" customHeight="1" thickBot="1">
      <c r="A43" s="682"/>
      <c r="B43" s="683"/>
      <c r="C43" s="684"/>
      <c r="D43" s="684"/>
      <c r="E43" s="685"/>
      <c r="F43" s="677"/>
      <c r="G43" s="677"/>
      <c r="H43" s="680"/>
      <c r="I43" s="657"/>
      <c r="J43" s="657"/>
      <c r="K43" s="421"/>
      <c r="P43" s="18"/>
      <c r="Q43" s="18"/>
      <c r="R43" s="400"/>
      <c r="S43" s="365" t="s">
        <v>695</v>
      </c>
      <c r="T43" s="355" t="str">
        <f t="shared" si="19"/>
        <v>No</v>
      </c>
      <c r="U43" s="396">
        <f>IF($T$42="No",0,AVERAGE($U$39,$U$41))</f>
        <v>0</v>
      </c>
      <c r="V43" s="355">
        <f>IF($T$43="No",0,$E$22)</f>
        <v>0</v>
      </c>
      <c r="W43" s="355">
        <f t="shared" si="18"/>
        <v>0</v>
      </c>
      <c r="X43" s="396">
        <f>IF($T$42="No",0,AVERAGE($X$39,$X$41))</f>
        <v>0</v>
      </c>
      <c r="Y43" s="403" t="b">
        <f>IF($T$43="","",IF($U$43&lt;$B$14,(($U$43-$B$13)*$AB$31)+$C$13,IF($U$43&lt;$B$15,(($U$43-$B$14)*$AB$32)+$C$14,IF($U$43&lt;$B$16,(($U$43-$B$15)*$AB$33)+$C$15,IF($U$43&lt;$B$17,(($U$43-$B$16)*$AB$34)+$C$16,IF($U$43&lt;$B$18,(($U$43-$B$17)*$AB$35)+$C$17,IF($U$43&lt;$B$19,(($U$43-$B$18)*$AB$36)+$C$18)))))))</f>
        <v>0</v>
      </c>
      <c r="AI43" s="960" t="s">
        <v>718</v>
      </c>
      <c r="AJ43" s="983"/>
      <c r="AK43" s="983"/>
      <c r="AL43" s="983"/>
      <c r="AM43" s="983"/>
      <c r="AN43" s="983"/>
      <c r="AO43" s="1034"/>
      <c r="AP43" s="1035" t="s">
        <v>719</v>
      </c>
      <c r="AQ43" s="983"/>
      <c r="AR43" s="983"/>
      <c r="AS43" s="983"/>
      <c r="AT43" s="983"/>
      <c r="AU43" s="983"/>
      <c r="AV43" s="983"/>
      <c r="AW43" s="983"/>
      <c r="AX43" s="983"/>
      <c r="AY43" s="330">
        <f>SUM(AY45:AY245)</f>
        <v>0</v>
      </c>
      <c r="AZ43" s="330">
        <f>SUM($AZ$45:$AZ$245)</f>
        <v>0</v>
      </c>
      <c r="BA43" s="330">
        <f>SUM($BA$45:$BA$245)</f>
        <v>0</v>
      </c>
      <c r="BB43" s="330">
        <f>SUM($BB$45:$BB$245)</f>
        <v>0</v>
      </c>
      <c r="BC43" s="330">
        <f>SUM($BC$45:$BC$245)</f>
        <v>0</v>
      </c>
      <c r="BD43" s="439"/>
      <c r="BE43" s="330">
        <f>SUM($BE$45:$BE$245)</f>
        <v>0</v>
      </c>
      <c r="BF43" s="439"/>
      <c r="BG43" s="330">
        <f>SUM($BG$45:$BG$245)</f>
        <v>0</v>
      </c>
      <c r="BH43" s="330">
        <f>SUM($BH$45:$BH$245)</f>
        <v>0</v>
      </c>
      <c r="BI43" s="330">
        <f>IF(SUM($BI$45:$BI$245)=0,0,AVERAGE($BI$45:$BI$245))</f>
        <v>0</v>
      </c>
      <c r="BJ43" s="39"/>
      <c r="BK43" s="330">
        <f>IF(SUM($BK$45:$BK$245)=0,0,AVERAGE($BK$45:$BK$245))</f>
        <v>0</v>
      </c>
      <c r="BL43" s="330">
        <f>IF(SUM($BL$45:$BL$245)=0,0,AVERAGE($BL$45:$BL$245))</f>
        <v>0</v>
      </c>
      <c r="BM43" s="330">
        <f>IF(SUM($BM$45:$BM$245)=0,0,AVERAGE($BM$45:$BM$245))</f>
        <v>0</v>
      </c>
      <c r="BN43" s="330">
        <f>IF(SUM($BN$45:$BN$245)=0,0,AVERAGE($BN$45:$BN$245))</f>
        <v>0</v>
      </c>
      <c r="BO43" s="330">
        <f>SUM(BO45:BO245)</f>
        <v>0</v>
      </c>
      <c r="BP43" s="330">
        <f>SUM($BP$45:$BP$245)</f>
        <v>0</v>
      </c>
      <c r="BQ43" s="330">
        <f>SUM($BQ$45:$BQ$245)</f>
        <v>0</v>
      </c>
      <c r="BR43" s="330">
        <f>IF(SUM($BR$45:$BR$245)=0,0,AVERAGE($BR$45:$BR$245))</f>
        <v>0</v>
      </c>
      <c r="BS43" s="432">
        <f>IF(SUM($BS$45:$BS$245)=0,0,AVERAGE($BS$45:$BS$245))</f>
        <v>0</v>
      </c>
    </row>
    <row r="44" spans="1:72" ht="17.45" customHeight="1" thickBot="1">
      <c r="A44" s="682"/>
      <c r="B44" s="683"/>
      <c r="C44" s="684"/>
      <c r="D44" s="684"/>
      <c r="E44" s="685"/>
      <c r="F44" s="677"/>
      <c r="G44" s="677"/>
      <c r="H44" s="680"/>
      <c r="I44" s="657"/>
      <c r="J44" s="657"/>
      <c r="K44" s="421"/>
      <c r="P44" s="18"/>
      <c r="Q44" s="18"/>
      <c r="R44" s="397"/>
      <c r="AI44" s="364" t="s">
        <v>651</v>
      </c>
      <c r="AJ44" s="323" t="s">
        <v>677</v>
      </c>
      <c r="AK44" s="357" t="s">
        <v>737</v>
      </c>
      <c r="AL44" s="357" t="s">
        <v>698</v>
      </c>
      <c r="AM44" s="357" t="s">
        <v>699</v>
      </c>
      <c r="AN44" s="357" t="s">
        <v>716</v>
      </c>
      <c r="AO44" s="435" t="s">
        <v>717</v>
      </c>
      <c r="AP44" s="357" t="s">
        <v>685</v>
      </c>
      <c r="AQ44" s="357" t="s">
        <v>720</v>
      </c>
      <c r="AR44" s="357" t="s">
        <v>735</v>
      </c>
      <c r="AS44" s="357" t="s">
        <v>722</v>
      </c>
      <c r="AT44" s="357" t="s">
        <v>741</v>
      </c>
      <c r="AU44" s="357" t="s">
        <v>740</v>
      </c>
      <c r="AV44" s="357" t="s">
        <v>721</v>
      </c>
      <c r="AW44" s="357" t="s">
        <v>736</v>
      </c>
      <c r="AX44" s="357" t="s">
        <v>723</v>
      </c>
      <c r="AY44" s="357" t="s">
        <v>752</v>
      </c>
      <c r="AZ44" s="357" t="s">
        <v>744</v>
      </c>
      <c r="BA44" s="357" t="s">
        <v>745</v>
      </c>
      <c r="BB44" s="357" t="s">
        <v>746</v>
      </c>
      <c r="BC44" s="357" t="s">
        <v>747</v>
      </c>
      <c r="BD44" s="357" t="s">
        <v>734</v>
      </c>
      <c r="BE44" s="357" t="s">
        <v>724</v>
      </c>
      <c r="BF44" s="357" t="s">
        <v>726</v>
      </c>
      <c r="BG44" s="357" t="s">
        <v>725</v>
      </c>
      <c r="BH44" s="357" t="s">
        <v>754</v>
      </c>
      <c r="BI44" s="357" t="s">
        <v>1042</v>
      </c>
      <c r="BJ44" s="357" t="s">
        <v>750</v>
      </c>
      <c r="BK44" s="357" t="s">
        <v>751</v>
      </c>
      <c r="BL44" s="357" t="s">
        <v>1039</v>
      </c>
      <c r="BM44" s="357" t="s">
        <v>865</v>
      </c>
      <c r="BN44" s="357" t="s">
        <v>866</v>
      </c>
      <c r="BO44" s="357" t="s">
        <v>869</v>
      </c>
      <c r="BP44" s="357" t="s">
        <v>870</v>
      </c>
      <c r="BQ44" s="357" t="s">
        <v>871</v>
      </c>
      <c r="BR44" s="357" t="s">
        <v>1040</v>
      </c>
      <c r="BS44" s="358" t="s">
        <v>1043</v>
      </c>
    </row>
    <row r="45" spans="1:72" ht="17.45" customHeight="1">
      <c r="A45" s="682"/>
      <c r="B45" s="683"/>
      <c r="C45" s="684"/>
      <c r="D45" s="684"/>
      <c r="E45" s="685"/>
      <c r="F45" s="677"/>
      <c r="G45" s="677"/>
      <c r="H45" s="680"/>
      <c r="I45" s="657"/>
      <c r="J45" s="657"/>
      <c r="P45" s="282"/>
      <c r="Q45" s="282"/>
      <c r="R45" s="397"/>
      <c r="S45" s="398"/>
      <c r="T45" s="312"/>
      <c r="U45" s="312"/>
      <c r="V45" s="986" t="s">
        <v>697</v>
      </c>
      <c r="W45" s="998"/>
      <c r="X45" s="988" t="s">
        <v>683</v>
      </c>
      <c r="Y45" s="988" t="s">
        <v>686</v>
      </c>
      <c r="Z45" s="988" t="s">
        <v>671</v>
      </c>
      <c r="AA45" s="988" t="s">
        <v>687</v>
      </c>
      <c r="AB45" s="411"/>
      <c r="AC45" s="415"/>
      <c r="AD45" s="963" t="s">
        <v>617</v>
      </c>
      <c r="AE45" s="966"/>
      <c r="AF45" s="967"/>
      <c r="AI45" s="364">
        <v>0</v>
      </c>
      <c r="AJ45" s="330">
        <f>($AI45/$AI$245)*$AJ$245</f>
        <v>0</v>
      </c>
      <c r="AK45" s="344" t="str">
        <f t="shared" ref="AK45:AK108" si="20">IF(OR($C$19="",$F$25="",$G$25=""),"None",IF(AL45&lt;$B$14,"Left Floodplain",IF(AL45&lt;$B$15,"Left Bank",IF(AL45&lt;$B$16,"Left Stream Bed",IF(AL45&lt;$B$17,"Right Stream Bed",IF(AL45&lt;$B$18,"Right Bank","Right Floodplain"))))))</f>
        <v>None</v>
      </c>
      <c r="AL45" s="330">
        <f>MIN($U$38:$U$39)</f>
        <v>0</v>
      </c>
      <c r="AM45" s="330">
        <f>IF($U$38&lt;=$U$39,$X$38,$X$39)</f>
        <v>0</v>
      </c>
      <c r="AN45" s="330">
        <f>MIN($U$40:$U$41)</f>
        <v>0</v>
      </c>
      <c r="AO45" s="436">
        <f>IF($U$40&lt;=$U$41,$X$40,$X$41)</f>
        <v>0</v>
      </c>
      <c r="AP45" s="348" t="b">
        <f>IF($AL45&lt;$B$14,(($AL45-$B$13)*$AB$31)+$C$13,IF($AL45&lt;$B$15,(($AL45-$B$14)*$AB$32)+$C$14,IF($AL45&lt;$B$16,(($AL45-$B$15)*$AB$33)+$C$15,IF($AL45&lt;$B$17,(($AL45-$B$16)*$AB$34)+$C$16,IF($AL45&lt;$B$18,(($AL45-$B$17)*$AB$35)+$C$17,IF($AL45&lt;$B$19,(($AL45-$B$18)*$AB$36)+$C$18))))))</f>
        <v>0</v>
      </c>
      <c r="AQ45" s="348">
        <f t="shared" ref="AQ45:AQ108" si="21">IF(OR($AP45&lt;$AE$12,$AP45&lt;=$AM45),0,IF(OR($AP45&gt;=$AE$12,$AM45&gt;=$AE$12),$AP45-$AM45-$AR45,$AP45-$AE$12))</f>
        <v>0</v>
      </c>
      <c r="AR45" s="348">
        <f t="shared" ref="AR45:AR108" si="22">IF($AP45&lt;=$AM45,0,IF($AM45&gt;=$AE$12,0,IF($AP45&lt;=$AE$12,$AP45-$AM45,$AE$12-$AM45)))</f>
        <v>0</v>
      </c>
      <c r="AS45" s="348">
        <f>IF(AP45&lt;=AM45,0,AP45-AM45)</f>
        <v>0</v>
      </c>
      <c r="AT45" s="348" t="str">
        <f>IF(OR($AS45="",$AS45=0),"",IF(OR($AK45="Left Stream Bed",$AK45="Right Stream Bed"),$AS45,""))</f>
        <v/>
      </c>
      <c r="AU45" s="348" t="str">
        <f>IF(OR($AS45="",$AS45=0),"",IF(OR($AK45="Left Floodplain",$AK45="Left Bank",$AK45="Right Bank",$AK45="Right Floodplain"),$AS45,""))</f>
        <v/>
      </c>
      <c r="AV45" s="348">
        <f>IF(OR($AP45&lt;$AE$12,$AP45&lt;=$AO45),0,IF($AO45&gt;=$AE$12,$AP45-$AO45,$AP45-$AE$12))</f>
        <v>0</v>
      </c>
      <c r="AW45" s="348">
        <f t="shared" ref="AW45:AW108" si="23">IF($AP45&lt;=$AO45,0,IF($AO45&gt;=$AE$12,0,IF($AP45&lt;=$AE$12,$AP45-$AO45,$AE$12-$AO45)))</f>
        <v>0</v>
      </c>
      <c r="AX45" s="348">
        <f t="shared" ref="AX45:AX108" si="24">IF(AP45&lt;=AO45,0,AP45-AO45)</f>
        <v>0</v>
      </c>
      <c r="AY45" s="330">
        <f t="shared" ref="AY45:AY108" si="25">IF($AS45=0,0,IF(OR($AJ45=0,$AJ45=$E$22),$AJ$46/2,$AJ$46))</f>
        <v>0</v>
      </c>
      <c r="AZ45" s="330">
        <f t="shared" ref="AZ45:AZ108" si="26">IF(OR($AK45="Left Stream Bed",$AK45="Right Stream Bed"),$F$22*$AQ45*$AY45,0)</f>
        <v>0</v>
      </c>
      <c r="BA45" s="330">
        <f t="shared" ref="BA45:BA108" si="27">IF(OR($AK45="Left Stream Bed",$AK45="Right Stream Bed"),$F$22*$AR45*$AY45,0)</f>
        <v>0</v>
      </c>
      <c r="BB45" s="330">
        <f t="shared" ref="BB45:BB108" si="28">IF(OR($AK45="Left Floodplain",$AK45="Left Bank",$AK45="Right Bank",$AK45="Right Floodplain"),$F$22*$AQ45*$AY45,0)</f>
        <v>0</v>
      </c>
      <c r="BC45" s="330">
        <f t="shared" ref="BC45:BC108" si="29">IF(OR($AK45="Left Floodplain",$AK45="Left Bank",$AK45="Right Bank",$AK45="Right Floodplain"),$F$22*$AR45*$AY45,0)</f>
        <v>0</v>
      </c>
      <c r="BD45" s="330">
        <f t="shared" ref="BD45:BD108" si="30">AX45-AS45</f>
        <v>0</v>
      </c>
      <c r="BE45" s="330">
        <f>$BD45*$AJ$46*ABS($M$17)</f>
        <v>0</v>
      </c>
      <c r="BF45" s="330">
        <f>AV45-AQ45</f>
        <v>0</v>
      </c>
      <c r="BG45" s="330">
        <f t="shared" ref="BG45:BG108" si="31">IF(OR($AJ45=0,$AJ45=$E$22),($BF45*$AJ$46/2)*ABS($M$17),$BF45*$AJ$46*ABS($M$17))</f>
        <v>0</v>
      </c>
      <c r="BH45" s="330" t="str">
        <f t="shared" ref="BH45:BH108" si="32">IF(OR($AM45&lt;$AP45,$AO45&gt;$AE$8),"",IF(OR($AJ45=0,$AJ45=$E$22),$AJ$46/2,$AJ$46))</f>
        <v/>
      </c>
      <c r="BI45" s="330" t="str">
        <f>IF($BH45="","",IF($BH45&gt;0,$AJ45,""))</f>
        <v/>
      </c>
      <c r="BJ45" s="330" t="str">
        <f>IF($BH45="","",IF(OR(($AO45-$AP45)&lt;0,$AO$45&gt;=$AE$8),0,($AO45-$AP45)))</f>
        <v/>
      </c>
      <c r="BK45" s="330" t="str">
        <f t="shared" ref="BK45:BK108" si="33">IF($BJ45="","",IF(OR($BJ45&gt;($F$22/2),$BJ45=0),0,0.45-($BJ45*0.45/($F$22/2))))</f>
        <v/>
      </c>
      <c r="BL45" s="330" t="str">
        <f t="shared" ref="BL45:BL108" si="34">IF($BK45="","",IF($BK45&gt;0,$AJ45,""))</f>
        <v/>
      </c>
      <c r="BM45" s="330" t="str">
        <f>IF($BH45="","",IF(OR(($AM45-$AP45)&lt;0,$AM45&gt;=$AE$8),"",($AE$8-($AM45-(($F$22/2)/$M$19)))))</f>
        <v/>
      </c>
      <c r="BN45" s="330" t="str">
        <f>IF($BM45="","",(((PI()^2)/32)*($B$66^-6)*EXP(-($BM45/$F$22)/(2*($B$66^2)))))</f>
        <v/>
      </c>
      <c r="BO45" s="330">
        <f t="shared" ref="BO45:BO108" si="35">IF($AO45=0,0,IF($AO45&gt;$AP45,0,IF(OR($AJ45=0,$AJ45=$E$22),$AJ$46/2,$AJ$46)))</f>
        <v>0</v>
      </c>
      <c r="BP45" s="330">
        <f t="shared" ref="BP45:BP108" si="36">IF(AND($BO45&gt;0,OR($AK45="Left Stream Bed",$AK45="Right Stream Bed")),$BO45,0)</f>
        <v>0</v>
      </c>
      <c r="BQ45" s="330">
        <f t="shared" ref="BQ45:BQ108" si="37">IF(AND($BO45&gt;0,OR($AK45="Left Floodplain",$AK45="Left Bank",$AK45="Right Bank",$AK45="Right Floodplain")),$BO45,0)</f>
        <v>0</v>
      </c>
      <c r="BR45" s="330" t="str">
        <f t="shared" ref="BR45:BR108" si="38">IF($BO45&gt;0,$AJ45,"")</f>
        <v/>
      </c>
      <c r="BS45" s="432" t="str">
        <f>IF($AY45&gt;0,$AJ45,"")</f>
        <v/>
      </c>
    </row>
    <row r="46" spans="1:72" ht="15.6" customHeight="1">
      <c r="A46" s="682"/>
      <c r="B46" s="683"/>
      <c r="C46" s="684"/>
      <c r="D46" s="684"/>
      <c r="E46" s="685"/>
      <c r="F46" s="677"/>
      <c r="G46" s="677"/>
      <c r="H46" s="680"/>
      <c r="I46" s="657"/>
      <c r="J46" s="657"/>
      <c r="P46" s="133"/>
      <c r="Q46" s="133"/>
      <c r="R46" s="397"/>
      <c r="S46" s="317"/>
      <c r="T46" s="357" t="s">
        <v>681</v>
      </c>
      <c r="U46" s="357" t="s">
        <v>680</v>
      </c>
      <c r="V46" s="357" t="s">
        <v>698</v>
      </c>
      <c r="W46" s="357" t="s">
        <v>699</v>
      </c>
      <c r="X46" s="1008"/>
      <c r="Y46" s="1008"/>
      <c r="Z46" s="1008"/>
      <c r="AA46" s="1008"/>
      <c r="AB46" s="358" t="s">
        <v>713</v>
      </c>
      <c r="AD46" s="378"/>
      <c r="AE46" s="357" t="s">
        <v>541</v>
      </c>
      <c r="AF46" s="358" t="s">
        <v>542</v>
      </c>
      <c r="AI46" s="364">
        <v>1</v>
      </c>
      <c r="AJ46" s="330">
        <f t="shared" ref="AJ46:AJ108" si="39">($AI46/$AI$245)*$AJ$245</f>
        <v>0</v>
      </c>
      <c r="AK46" s="344" t="str">
        <f t="shared" si="20"/>
        <v>None</v>
      </c>
      <c r="AL46" s="330">
        <f>$AL$45+ABS(AJ46*$M$19*$M$17)</f>
        <v>0</v>
      </c>
      <c r="AM46" s="336">
        <f>AM45+((AL46-AL45)*$AA$40)</f>
        <v>0</v>
      </c>
      <c r="AN46" s="330">
        <f t="shared" ref="AN46:AN77" si="40">$AN$45+ABS(AJ46*$M$19*$M$17)</f>
        <v>0</v>
      </c>
      <c r="AO46" s="437">
        <f>AO45+((AN46-AN45)*$AA$40)</f>
        <v>0</v>
      </c>
      <c r="AP46" s="348" t="b">
        <f>IF($AL46&lt;$B$14,(($AL46-$B$13)*$AB$31)+$C$13,IF($AL46&lt;$B$15,(($AL46-$B$14)*$AB$32)+$C$14,IF($AL46&lt;$B$16,(($AL46-$B$15)*$AB$33)+$C$15,IF($AL46&lt;$B$17,(($AL46-$B$16)*$AB$34)+$C$16,IF($AL46&lt;$B$18,(($AL46-$B$17)*$AB$35)+$C$17,IF($AL46&lt;$B$19,(($AL46-$B$18)*$AB$36)+$C$18))))))</f>
        <v>0</v>
      </c>
      <c r="AQ46" s="348">
        <f t="shared" si="21"/>
        <v>0</v>
      </c>
      <c r="AR46" s="348">
        <f t="shared" si="22"/>
        <v>0</v>
      </c>
      <c r="AS46" s="348">
        <f t="shared" ref="AS46:AS108" si="41">IF(AP46&lt;=AM46,0,AP46-AM46)</f>
        <v>0</v>
      </c>
      <c r="AT46" s="348" t="str">
        <f t="shared" ref="AT46:AT109" si="42">IF(OR($AS46="",$AS46=0),"",IF(OR($AK46="Left Stream Bed",$AK46="Right Stream Bed"),$AS46,""))</f>
        <v/>
      </c>
      <c r="AU46" s="348" t="str">
        <f t="shared" ref="AU46:AU109" si="43">IF(OR($AS46="",$AS46=0),"",IF(OR($AK46="Left Floodplain",$AK46="Left Bank",$AK46="Right Bank",$AK46="Right Floodplain"),$AS46,""))</f>
        <v/>
      </c>
      <c r="AV46" s="348">
        <f t="shared" ref="AV46:AV109" si="44">IF(OR($AP46&lt;$AE$12,$AP46&lt;=$AO46),0,IF($AO46&gt;=$AE$12,$AP46-$AO46,$AP46-$AE$12))</f>
        <v>0</v>
      </c>
      <c r="AW46" s="348">
        <f t="shared" si="23"/>
        <v>0</v>
      </c>
      <c r="AX46" s="348">
        <f t="shared" si="24"/>
        <v>0</v>
      </c>
      <c r="AY46" s="330">
        <f t="shared" si="25"/>
        <v>0</v>
      </c>
      <c r="AZ46" s="330">
        <f t="shared" si="26"/>
        <v>0</v>
      </c>
      <c r="BA46" s="330">
        <f t="shared" si="27"/>
        <v>0</v>
      </c>
      <c r="BB46" s="330">
        <f t="shared" si="28"/>
        <v>0</v>
      </c>
      <c r="BC46" s="330">
        <f t="shared" si="29"/>
        <v>0</v>
      </c>
      <c r="BD46" s="330">
        <f t="shared" si="30"/>
        <v>0</v>
      </c>
      <c r="BE46" s="330">
        <f t="shared" ref="BE46:BE109" si="45">$BD46*$AJ$46*ABS($M$17)</f>
        <v>0</v>
      </c>
      <c r="BF46" s="330">
        <f t="shared" ref="BF46:BF108" si="46">AV46-AQ46</f>
        <v>0</v>
      </c>
      <c r="BG46" s="330">
        <f t="shared" si="31"/>
        <v>0</v>
      </c>
      <c r="BH46" s="330" t="str">
        <f t="shared" si="32"/>
        <v/>
      </c>
      <c r="BI46" s="330" t="str">
        <f t="shared" ref="BI46:BI109" si="47">IF($BH46="","",IF($BH46&gt;0,$AJ46,""))</f>
        <v/>
      </c>
      <c r="BJ46" s="330" t="str">
        <f t="shared" ref="BJ46:BJ109" si="48">IF($BH46="","",IF(OR(($AO46-$AP46)&lt;0,$AO$45&gt;=$AE$8),0,($AO46-$AP46)))</f>
        <v/>
      </c>
      <c r="BK46" s="330" t="str">
        <f t="shared" si="33"/>
        <v/>
      </c>
      <c r="BL46" s="330" t="str">
        <f t="shared" si="34"/>
        <v/>
      </c>
      <c r="BM46" s="330" t="str">
        <f t="shared" ref="BM46:BM109" si="49">IF($BH46="","",IF(OR(($AM46-$AP46)&lt;0,$AM46&gt;=$AE$8),"",($AE$8-($AM46-(($F$22/2)/$M$19)))))</f>
        <v/>
      </c>
      <c r="BN46" s="330" t="str">
        <f>IF($BM46="","",(((PI()^2)/32)*($B$66^-6)*EXP(-($BM46/$F$22)/(2*($B$66^2)))))</f>
        <v/>
      </c>
      <c r="BO46" s="330">
        <f t="shared" si="35"/>
        <v>0</v>
      </c>
      <c r="BP46" s="330">
        <f t="shared" si="36"/>
        <v>0</v>
      </c>
      <c r="BQ46" s="330">
        <f t="shared" si="37"/>
        <v>0</v>
      </c>
      <c r="BR46" s="330" t="str">
        <f t="shared" si="38"/>
        <v/>
      </c>
      <c r="BS46" s="432" t="str">
        <f t="shared" ref="BS46:BS109" si="50">IF($AY46&gt;0,$AJ46,"")</f>
        <v/>
      </c>
    </row>
    <row r="47" spans="1:72">
      <c r="A47" s="682"/>
      <c r="B47" s="683"/>
      <c r="C47" s="684"/>
      <c r="D47" s="684"/>
      <c r="E47" s="685"/>
      <c r="F47" s="677"/>
      <c r="G47" s="677"/>
      <c r="H47" s="680"/>
      <c r="I47" s="657"/>
      <c r="J47" s="657"/>
      <c r="P47" s="133"/>
      <c r="Q47" s="133"/>
      <c r="R47" s="397"/>
      <c r="S47" s="364" t="s">
        <v>668</v>
      </c>
      <c r="T47" s="348" t="e">
        <f>($B$14-$B$13)/ABS($M$17)/ABS($M$19)</f>
        <v>#DIV/0!</v>
      </c>
      <c r="U47" s="348">
        <f>IF(MAX($U$38:$U$39)&lt;=$B$14,$E$22,IF($T$32="No",0,$E$22-$W$32))</f>
        <v>0</v>
      </c>
      <c r="V47" s="348">
        <f>IF($U$47=0,0,IF(OR($B$25=0,$B$25=180,$B$25=360),$U$38,$U$32+(($X$32-$C$14)/($AB$31-$AA$40))))</f>
        <v>0</v>
      </c>
      <c r="W47" s="348">
        <f>IF($U$47=0,0,IF(OR($B$25=0,$B$25=180,$B$25=360),(($U$38-$B$13)*$AB$31)+$C$13,$X$32+(($V$47-$U$32)*$AA$40)))</f>
        <v>0</v>
      </c>
      <c r="X47" s="348">
        <f>IF($U$47=0,0,IF(OR($B$25=0,$B$25=180,$B$25=360),$E$22-ABS(($X$39-$W$47)/$M$20),IF(AND($U$38&lt;=$U$39,$X$38&gt;=$Y$38),ABS(($X$38-$W$47)/($AA$40*$M$17*$M$19)),IF(AND($U$38&lt;=$U$39,$X$38&lt;$Y$38),ABS($E$22-(ABS(($X$38-$W$47)/($AA$40*$M$17*$M$19)))),IF(AND($U$38&gt;$U$39,$X$39&gt;=$Y$39),ABS(($X$39-$W$47)/($AA$40*$M$17*$M$19)),IF(AND($U$38&gt;=$U$39,$X$39&lt;$Y$39),ABS($E$22-(ABS(($X$38-$W$47)/($AA$40*$M$17*$M$19))))))))))</f>
        <v>0</v>
      </c>
      <c r="Y47" s="348" t="str">
        <f>IF(AND($U$47=0,$W$47=0),"No",IF(AND($V$47&lt;=$B$14,$V$47&gt;=$B$13,$V$47&gt;=MIN($U$38:$U$39),$V$47&lt;=MAX($U$38:$U$39),$W$47&lt;$C$13,$X$47&lt;=$E$22),"Yes","No"))</f>
        <v>No</v>
      </c>
      <c r="Z47" s="344" t="str">
        <f>IF($U$47=0,"No",IF($Y$47="Yes","Partial",IF(AND($U$47&lt;$E$22,$X$39&lt;$Y$39,$Y$47="No",$Y$48="No",$Y$49="No",$Y$50="No",$Y$51="No",$Y$52="No"),"Yes",IF(AND($Y$47="No",$X$32&gt;$Y$32),"No","Yes"))))</f>
        <v>No</v>
      </c>
      <c r="AA47" s="344" t="str">
        <f>IF($Z$47="Yes","None",IF(AND($Z$47="No",$U$47=0),"None",IF($Z$47="No","All",IF(AND($X$39&gt;=$Y$39,$U$39&lt;=$U$38),"Left","Right"))))</f>
        <v>None</v>
      </c>
      <c r="AB47" s="394">
        <f>IF($U$47=0,0,IF($Z$47="No",0,IF($Z$47="Yes",$U$47,IF(OR($AA$47="Left",$U$47=$E$22),$U$47-(ABS(($U$39-$V$47)/($M$17*$M$19))),$U$47-(ABS(($V$47-$B$14)/($M$17*$M$19)))))))</f>
        <v>0</v>
      </c>
      <c r="AD47" s="364" t="s">
        <v>15</v>
      </c>
      <c r="AE47" s="336">
        <f>AVERAGE(T10,T15)</f>
        <v>0</v>
      </c>
      <c r="AF47" s="359">
        <f>AVERAGE(U10,U15)</f>
        <v>0</v>
      </c>
      <c r="AI47" s="364">
        <v>2</v>
      </c>
      <c r="AJ47" s="330">
        <f t="shared" si="39"/>
        <v>0</v>
      </c>
      <c r="AK47" s="344" t="str">
        <f t="shared" si="20"/>
        <v>None</v>
      </c>
      <c r="AL47" s="330">
        <f>$AL$45+ABS(AJ47*$M$19*$M$17)</f>
        <v>0</v>
      </c>
      <c r="AM47" s="336">
        <f t="shared" ref="AM47:AM110" si="51">AM46+((AL47-AL46)*$AA$40)</f>
        <v>0</v>
      </c>
      <c r="AN47" s="330">
        <f t="shared" si="40"/>
        <v>0</v>
      </c>
      <c r="AO47" s="437">
        <f t="shared" ref="AO47:AO110" si="52">AO46+((AN47-AN46)*$AA$40)</f>
        <v>0</v>
      </c>
      <c r="AP47" s="348" t="b">
        <f t="shared" ref="AP47:AP108" si="53">IF($AL47&lt;$B$14,(($AL47-$B$13)*$AB$31)+$C$13,IF($AL47&lt;$B$15,(($AL47-$B$14)*$AB$32)+$C$14,IF($AL47&lt;$B$16,(($AL47-$B$15)*$AB$33)+$C$15,IF($AL47&lt;$B$17,(($AL47-$B$16)*$AB$34)+$C$16,IF($AL47&lt;$B$18,(($AL47-$B$17)*$AB$35)+$C$17,IF($AL47&lt;$B$19,(($AL47-$B$18)*$AB$36)+$C$18))))))</f>
        <v>0</v>
      </c>
      <c r="AQ47" s="348">
        <f t="shared" si="21"/>
        <v>0</v>
      </c>
      <c r="AR47" s="348">
        <f t="shared" si="22"/>
        <v>0</v>
      </c>
      <c r="AS47" s="348">
        <f t="shared" si="41"/>
        <v>0</v>
      </c>
      <c r="AT47" s="348" t="str">
        <f t="shared" si="42"/>
        <v/>
      </c>
      <c r="AU47" s="348" t="str">
        <f t="shared" si="43"/>
        <v/>
      </c>
      <c r="AV47" s="348">
        <f t="shared" si="44"/>
        <v>0</v>
      </c>
      <c r="AW47" s="348">
        <f t="shared" si="23"/>
        <v>0</v>
      </c>
      <c r="AX47" s="348">
        <f t="shared" si="24"/>
        <v>0</v>
      </c>
      <c r="AY47" s="330">
        <f t="shared" si="25"/>
        <v>0</v>
      </c>
      <c r="AZ47" s="330">
        <f t="shared" si="26"/>
        <v>0</v>
      </c>
      <c r="BA47" s="330">
        <f t="shared" si="27"/>
        <v>0</v>
      </c>
      <c r="BB47" s="330">
        <f t="shared" si="28"/>
        <v>0</v>
      </c>
      <c r="BC47" s="330">
        <f t="shared" si="29"/>
        <v>0</v>
      </c>
      <c r="BD47" s="330">
        <f t="shared" si="30"/>
        <v>0</v>
      </c>
      <c r="BE47" s="330">
        <f t="shared" si="45"/>
        <v>0</v>
      </c>
      <c r="BF47" s="330">
        <f t="shared" si="46"/>
        <v>0</v>
      </c>
      <c r="BG47" s="330">
        <f t="shared" si="31"/>
        <v>0</v>
      </c>
      <c r="BH47" s="330" t="str">
        <f t="shared" si="32"/>
        <v/>
      </c>
      <c r="BI47" s="330" t="str">
        <f t="shared" si="47"/>
        <v/>
      </c>
      <c r="BJ47" s="330" t="str">
        <f t="shared" si="48"/>
        <v/>
      </c>
      <c r="BK47" s="330" t="str">
        <f t="shared" si="33"/>
        <v/>
      </c>
      <c r="BL47" s="330" t="str">
        <f t="shared" si="34"/>
        <v/>
      </c>
      <c r="BM47" s="330" t="str">
        <f t="shared" si="49"/>
        <v/>
      </c>
      <c r="BN47" s="330" t="str">
        <f t="shared" ref="BN47:BN110" si="54">IF($BM47="","",(((PI()^2)/32)*($B$66^-6)*EXP(-($BM47/$F$22)/(2*($B$66^2)))))</f>
        <v/>
      </c>
      <c r="BO47" s="330">
        <f t="shared" si="35"/>
        <v>0</v>
      </c>
      <c r="BP47" s="330">
        <f t="shared" si="36"/>
        <v>0</v>
      </c>
      <c r="BQ47" s="330">
        <f t="shared" si="37"/>
        <v>0</v>
      </c>
      <c r="BR47" s="330" t="str">
        <f t="shared" si="38"/>
        <v/>
      </c>
      <c r="BS47" s="432" t="str">
        <f t="shared" si="50"/>
        <v/>
      </c>
    </row>
    <row r="48" spans="1:72">
      <c r="A48" s="686" t="str">
        <f>IF($A$6="","",$A$6)</f>
        <v/>
      </c>
      <c r="B48" s="1018" t="str">
        <f>IF($A$6="","",$B$6)</f>
        <v/>
      </c>
      <c r="C48" s="938"/>
      <c r="D48" s="686" t="str">
        <f>IF(OR($B$9="N/A",$B$9=""),"",$B$9)</f>
        <v/>
      </c>
      <c r="E48" s="687" t="str">
        <f>IF($D$48="","","Log ID")</f>
        <v/>
      </c>
      <c r="F48" s="688" t="str">
        <f>IF($D$48="","",$C$9)</f>
        <v/>
      </c>
      <c r="G48" s="677"/>
      <c r="H48" s="680"/>
      <c r="I48" s="657"/>
      <c r="J48" s="687" t="s">
        <v>887</v>
      </c>
      <c r="P48" s="133"/>
      <c r="Q48" s="133"/>
      <c r="R48" s="397"/>
      <c r="S48" s="364" t="s">
        <v>667</v>
      </c>
      <c r="T48" s="348" t="e">
        <f>($B$15-$B$14)/ABS($M$17)/ABS($M$19)</f>
        <v>#DIV/0!</v>
      </c>
      <c r="U48" s="348">
        <f>IF(AND(MIN($U$38:$U$39)&gt;=$B$14,MAX($U$38:$U$39)&lt;=$B$15),$E$22,IF(AND($T$33="No",$T$32="No"),0,$E$22-$W$33-$U$47))</f>
        <v>0</v>
      </c>
      <c r="V48" s="348">
        <f>IF($U$48=0,0,IF(OR($B$25=0,$B$25=180,$B$25=360),$U$38,$U$33+(($C$15-$X$33)/($AA$40-$AB$32))))</f>
        <v>0</v>
      </c>
      <c r="W48" s="348">
        <f>IF($U$48=0,0,IF(OR($B$25=0,$B$25=180,$B$25=360),(($U$38-$B$14)*$AB$32)+$C$14,$X$33+(($V$48-$U$33)*$AA$40)))</f>
        <v>0</v>
      </c>
      <c r="X48" s="348">
        <f>IF($U$48=0,0,IF(OR($B$25=0,$B$25=180,$B$25=360),$E$22-ABS(($X$39-$W$48)/$M$20),IF(AND($U$38&lt;=$U$39,$X$38&gt;=$Y$38),ABS(($X$38-$W$48)/($AA$40*$M$17*$M$19)),IF(AND($U$38&lt;=$U$39,$X$38&lt;$Y$38),ABS($E$22-(ABS(($X$38-$W$48)/($AA$40*$M$17*$M$19)))),IF(AND($U$38&gt;$U$39,$X$39&gt;=$Y$39),ABS(($X$39-$W$48)/($AA$40*$M$17*$M$19)),IF(AND($U$38&gt;=$U$39,$X$39&lt;$Y$39),ABS($E$22-(ABS(($X$38-$W$48)/($AA$40*$M$17*$M$19))))))))))</f>
        <v>0</v>
      </c>
      <c r="Y48" s="348" t="str">
        <f>IF(AND($U$48=0,$W$48=0),"No",IF(AND($V$48&lt;=$B$15,$V$48&gt;=$B$14,$V$48&gt;=MIN($U$38:$U$39),$V$48&lt;=MAX($U$38:$U$39),$W$48&lt;$C$14,$X$48&lt;=$E$22),"Yes","No"))</f>
        <v>No</v>
      </c>
      <c r="Z48" s="344" t="str">
        <f>IF($U$48=0,"No",IF($Y$48="Yes","Partial",IF(AND($U$48&lt;$E$22,$X$39&lt;$Y$39,$Y$47="No",$Y$48="No",$Y$49="No",$Y$50="No",$Y$51="No",$Y$52="No"),"Yes",IF(AND($Y$48="No",$X$33&gt;$Y$33),"No","Yes"))))</f>
        <v>No</v>
      </c>
      <c r="AA48" s="344" t="str">
        <f>IF($Z$48="Yes","None",IF(AND($Z$48="No",$U$48=0),"None",IF($Z$48="No","All",IF(AND($X$39&gt;=$Y$39,$U$39&lt;=$U$38,$AA$47&lt;&gt;"Left"),"Left","Right"))))</f>
        <v>None</v>
      </c>
      <c r="AB48" s="394">
        <f>IF($U$48=0,0,IF($Z$48="No",0,IF($Z$48="Yes",$U$48,IF(OR($U$48=$E$22,AND($AA$48="Left",MIN($U$38:$U$39)&gt;=$B$14,MAX($U$38:$U$39)&gt;=$B$15)),$U$48-(ABS(($U$39-$V$48)/($M$17*$M$19))),IF($AA$48="Left",$U$48-(ABS(($B$14-$V$48)/($M$17*$M$19))),IF(MAX($U$38:$U$39)&gt;=$B$15,$U$48-(ABS(($V$48-$B$15)/($M$17*$M$19))),ABS(($V$48-$B$14)/($M$17*$M$19))))))))</f>
        <v>0</v>
      </c>
      <c r="AD48" s="364" t="s">
        <v>618</v>
      </c>
      <c r="AE48" s="336">
        <f>AVERAGE(T11,T14)</f>
        <v>0</v>
      </c>
      <c r="AF48" s="359">
        <f>AVERAGE(U11,U14)</f>
        <v>0</v>
      </c>
      <c r="AI48" s="364">
        <v>3</v>
      </c>
      <c r="AJ48" s="330">
        <f t="shared" si="39"/>
        <v>0</v>
      </c>
      <c r="AK48" s="344" t="str">
        <f t="shared" si="20"/>
        <v>None</v>
      </c>
      <c r="AL48" s="330">
        <f t="shared" ref="AL48:AL77" si="55">$AL$45+ABS(AJ48*$M$19*$M$17)</f>
        <v>0</v>
      </c>
      <c r="AM48" s="336">
        <f t="shared" si="51"/>
        <v>0</v>
      </c>
      <c r="AN48" s="330">
        <f t="shared" si="40"/>
        <v>0</v>
      </c>
      <c r="AO48" s="437">
        <f t="shared" si="52"/>
        <v>0</v>
      </c>
      <c r="AP48" s="348" t="b">
        <f t="shared" si="53"/>
        <v>0</v>
      </c>
      <c r="AQ48" s="348">
        <f t="shared" si="21"/>
        <v>0</v>
      </c>
      <c r="AR48" s="348">
        <f t="shared" si="22"/>
        <v>0</v>
      </c>
      <c r="AS48" s="348">
        <f t="shared" si="41"/>
        <v>0</v>
      </c>
      <c r="AT48" s="348" t="str">
        <f t="shared" si="42"/>
        <v/>
      </c>
      <c r="AU48" s="348" t="str">
        <f t="shared" si="43"/>
        <v/>
      </c>
      <c r="AV48" s="348">
        <f t="shared" si="44"/>
        <v>0</v>
      </c>
      <c r="AW48" s="348">
        <f t="shared" si="23"/>
        <v>0</v>
      </c>
      <c r="AX48" s="348">
        <f t="shared" si="24"/>
        <v>0</v>
      </c>
      <c r="AY48" s="330">
        <f t="shared" si="25"/>
        <v>0</v>
      </c>
      <c r="AZ48" s="330">
        <f t="shared" si="26"/>
        <v>0</v>
      </c>
      <c r="BA48" s="330">
        <f t="shared" si="27"/>
        <v>0</v>
      </c>
      <c r="BB48" s="330">
        <f t="shared" si="28"/>
        <v>0</v>
      </c>
      <c r="BC48" s="330">
        <f t="shared" si="29"/>
        <v>0</v>
      </c>
      <c r="BD48" s="330">
        <f t="shared" si="30"/>
        <v>0</v>
      </c>
      <c r="BE48" s="330">
        <f t="shared" si="45"/>
        <v>0</v>
      </c>
      <c r="BF48" s="330">
        <f t="shared" si="46"/>
        <v>0</v>
      </c>
      <c r="BG48" s="330">
        <f t="shared" si="31"/>
        <v>0</v>
      </c>
      <c r="BH48" s="330" t="str">
        <f t="shared" si="32"/>
        <v/>
      </c>
      <c r="BI48" s="330" t="str">
        <f t="shared" si="47"/>
        <v/>
      </c>
      <c r="BJ48" s="330" t="str">
        <f t="shared" si="48"/>
        <v/>
      </c>
      <c r="BK48" s="330" t="str">
        <f t="shared" si="33"/>
        <v/>
      </c>
      <c r="BL48" s="330" t="str">
        <f t="shared" si="34"/>
        <v/>
      </c>
      <c r="BM48" s="330" t="str">
        <f t="shared" si="49"/>
        <v/>
      </c>
      <c r="BN48" s="330" t="str">
        <f t="shared" si="54"/>
        <v/>
      </c>
      <c r="BO48" s="330">
        <f t="shared" si="35"/>
        <v>0</v>
      </c>
      <c r="BP48" s="330">
        <f t="shared" si="36"/>
        <v>0</v>
      </c>
      <c r="BQ48" s="330">
        <f t="shared" si="37"/>
        <v>0</v>
      </c>
      <c r="BR48" s="330" t="str">
        <f t="shared" si="38"/>
        <v/>
      </c>
      <c r="BS48" s="432" t="str">
        <f t="shared" si="50"/>
        <v/>
      </c>
    </row>
    <row r="49" spans="1:71" ht="14.45" customHeight="1" thickBot="1">
      <c r="A49" s="968" t="s">
        <v>0</v>
      </c>
      <c r="B49" s="968"/>
      <c r="C49" s="968"/>
      <c r="D49" s="968"/>
      <c r="E49" s="968"/>
      <c r="F49" s="968"/>
      <c r="G49" s="968"/>
      <c r="H49" s="968"/>
      <c r="I49" s="968"/>
      <c r="J49" s="968"/>
      <c r="P49" s="18"/>
      <c r="Q49" s="18"/>
      <c r="R49" s="397"/>
      <c r="S49" s="364" t="s">
        <v>693</v>
      </c>
      <c r="T49" s="348" t="e">
        <f>($B$16-$B$15)/ABS($M$17)/ABS($M$19)</f>
        <v>#DIV/0!</v>
      </c>
      <c r="U49" s="348">
        <f>IF(AND(MIN($U$38:$U$39)&gt;=$B$15,MAX($U$38:$U$39)&lt;=$B$16),$E$22,IF(AND($T$34="No",$T$33="No"),0,IF(AND($T$33="Yes",$T$34="No"),$E$22-$U$48-$U$47,IF(AND($T$33="Yes",$T$34="Yes",$T$36="No"),$E$22-$U$50-$U$48-$U$47,IF(AND($T$33="Yes",$T$34="Yes",$T$36="Yes"),$E$22-$U$52-$U$51-$U$50-$U$48-$U$47,$E$22-$U$52-$U$51-$U$50)))))</f>
        <v>0</v>
      </c>
      <c r="V49" s="348">
        <f>IF($U$49=0,0,IF(OR($B$25=0,$B$25=180,$B$25=360),$U$38,$U$34+(($C$16-$X$34)/($AA$40-$AB$33))))</f>
        <v>0</v>
      </c>
      <c r="W49" s="348">
        <f>IF($U$49=0,0,IF(OR($B$25=0,$B$25=180,$B$25=360),(($U$38-$B$15)*$AB$33)+$C$15,$X$34+(($V$49-$U$34)*$AA$40)))</f>
        <v>0</v>
      </c>
      <c r="X49" s="348">
        <f>IF(OR($U$49=0,AND($C$25=0,$B$25=0),AND($C$25=0,$B$25=360),AND($C$25=0,$B$25=180)),0,IF(OR($B$25=0,$B$25=180,$B$25=360),$E$22-ABS(($X$39-$W$49)/$M$20),IF(AND($U$38&lt;=$U$39,$X$38&gt;=$Y$38),ABS(($X$38-$W$49)/($AA$40*$M$17*$M$19)),IF(AND($U$38&lt;=$U$39,$X$38&lt;$Y$38),ABS($E$22-(ABS(($X$38-$W$49)/($AA$40*$M$17*$M$19)))),IF(AND($U$38&gt;$U$39,$X$39&gt;=$Y$39),ABS(($X$39-$W$49)/($AA$40*$M$17*$M$19)),IF(AND($U$38&gt;=$U$39,$X$39&lt;$Y$39),ABS($E$22-(ABS(($X$38-$W$49)/($AA$40*$M$17*$M$19))))))))))</f>
        <v>0</v>
      </c>
      <c r="Y49" s="348" t="str">
        <f>IF(AND($U$49=0,$W$49=0),"No",IF(AND($V$49&lt;=$B$16,$V$49&gt;=$B$15,$V$49&gt;=MIN($U$38:$U$39),$V$49&lt;=MAX($U$38:$U$39),$W$49&lt;$C$15,$X$49&lt;=$E$22),"Yes","No"))</f>
        <v>No</v>
      </c>
      <c r="Z49" s="344" t="str">
        <f>IF($U$49=0,"No",IF($Y$49="Yes","Partial",IF(AND($U$49&lt;$E$22,$X$39&lt;$Y$39,$Y$47="No",$Y$48="No",$Y$49="No",$Y$50="No",$Y$51="No",$Y$52="No"),"Yes",IF(AND($Y$49="No",$X$34&gt;$Y$34),"No","Yes"))))</f>
        <v>No</v>
      </c>
      <c r="AA49" s="344" t="str">
        <f>IF($Z$49="Yes","None",IF(AND($Z$49="No",$U$49=0),"None",IF($Z$49="No","All",IF(AND($X$39&gt;=$Y$39,$U$39&lt;=$U$38,$AA$48&lt;&gt;"Left"),"Left","Right"))))</f>
        <v>None</v>
      </c>
      <c r="AB49" s="394">
        <f>IF($U$49=0,0,IF($Z$49="No",0,IF($Z$49="Yes",$U$49,IF(OR($U$49=$E$22,AND($AA$49="Left",MIN($U$38:$U$39)&gt;=$B$15,MAX($U$38:$U$39)&gt;=$B$16)),$U$49-(ABS(($U$39-$V$49)/($M$17*$M$19))),IF($AA$49="Left",$U$49-(ABS(($B$15-$V$49)/($M$17*$M$19))),IF(MAX($U$38:$U$39)&gt;=$B$16,$U$49-(ABS(($V$49-$B$16)/($M$17*$M$19))),ABS(($V$49-$B$15)/($M$17*$M$19))))))))</f>
        <v>0</v>
      </c>
      <c r="AD49" s="365" t="s">
        <v>619</v>
      </c>
      <c r="AE49" s="351">
        <f>AVERAGE(T12,T13)</f>
        <v>0</v>
      </c>
      <c r="AF49" s="361">
        <f>AVERAGE(U12,U13)</f>
        <v>0</v>
      </c>
      <c r="AI49" s="364">
        <v>4</v>
      </c>
      <c r="AJ49" s="330">
        <f t="shared" si="39"/>
        <v>0</v>
      </c>
      <c r="AK49" s="344" t="str">
        <f t="shared" si="20"/>
        <v>None</v>
      </c>
      <c r="AL49" s="330">
        <f t="shared" si="55"/>
        <v>0</v>
      </c>
      <c r="AM49" s="336">
        <f t="shared" si="51"/>
        <v>0</v>
      </c>
      <c r="AN49" s="330">
        <f t="shared" si="40"/>
        <v>0</v>
      </c>
      <c r="AO49" s="437">
        <f t="shared" si="52"/>
        <v>0</v>
      </c>
      <c r="AP49" s="348" t="b">
        <f t="shared" si="53"/>
        <v>0</v>
      </c>
      <c r="AQ49" s="348">
        <f t="shared" si="21"/>
        <v>0</v>
      </c>
      <c r="AR49" s="348">
        <f t="shared" si="22"/>
        <v>0</v>
      </c>
      <c r="AS49" s="348">
        <f t="shared" si="41"/>
        <v>0</v>
      </c>
      <c r="AT49" s="348" t="str">
        <f t="shared" si="42"/>
        <v/>
      </c>
      <c r="AU49" s="348" t="str">
        <f t="shared" si="43"/>
        <v/>
      </c>
      <c r="AV49" s="348">
        <f t="shared" si="44"/>
        <v>0</v>
      </c>
      <c r="AW49" s="348">
        <f t="shared" si="23"/>
        <v>0</v>
      </c>
      <c r="AX49" s="348">
        <f t="shared" si="24"/>
        <v>0</v>
      </c>
      <c r="AY49" s="330">
        <f t="shared" si="25"/>
        <v>0</v>
      </c>
      <c r="AZ49" s="330">
        <f t="shared" si="26"/>
        <v>0</v>
      </c>
      <c r="BA49" s="330">
        <f t="shared" si="27"/>
        <v>0</v>
      </c>
      <c r="BB49" s="330">
        <f t="shared" si="28"/>
        <v>0</v>
      </c>
      <c r="BC49" s="330">
        <f t="shared" si="29"/>
        <v>0</v>
      </c>
      <c r="BD49" s="330">
        <f t="shared" si="30"/>
        <v>0</v>
      </c>
      <c r="BE49" s="330">
        <f t="shared" si="45"/>
        <v>0</v>
      </c>
      <c r="BF49" s="330">
        <f t="shared" si="46"/>
        <v>0</v>
      </c>
      <c r="BG49" s="330">
        <f t="shared" si="31"/>
        <v>0</v>
      </c>
      <c r="BH49" s="330" t="str">
        <f t="shared" si="32"/>
        <v/>
      </c>
      <c r="BI49" s="330" t="str">
        <f t="shared" si="47"/>
        <v/>
      </c>
      <c r="BJ49" s="330" t="str">
        <f t="shared" si="48"/>
        <v/>
      </c>
      <c r="BK49" s="330" t="str">
        <f t="shared" si="33"/>
        <v/>
      </c>
      <c r="BL49" s="330" t="str">
        <f t="shared" si="34"/>
        <v/>
      </c>
      <c r="BM49" s="330" t="str">
        <f t="shared" si="49"/>
        <v/>
      </c>
      <c r="BN49" s="330" t="str">
        <f t="shared" si="54"/>
        <v/>
      </c>
      <c r="BO49" s="330">
        <f t="shared" si="35"/>
        <v>0</v>
      </c>
      <c r="BP49" s="330">
        <f t="shared" si="36"/>
        <v>0</v>
      </c>
      <c r="BQ49" s="330">
        <f t="shared" si="37"/>
        <v>0</v>
      </c>
      <c r="BR49" s="330" t="str">
        <f t="shared" si="38"/>
        <v/>
      </c>
      <c r="BS49" s="432" t="str">
        <f t="shared" si="50"/>
        <v/>
      </c>
    </row>
    <row r="50" spans="1:71" ht="16.899999999999999" customHeight="1" thickBot="1">
      <c r="A50" s="971" t="s">
        <v>834</v>
      </c>
      <c r="B50" s="972"/>
      <c r="C50" s="972"/>
      <c r="D50" s="972"/>
      <c r="E50" s="972"/>
      <c r="F50" s="972"/>
      <c r="G50" s="689"/>
      <c r="H50" s="971" t="s">
        <v>755</v>
      </c>
      <c r="I50" s="972"/>
      <c r="J50" s="657"/>
      <c r="P50" s="18"/>
      <c r="Q50" s="18"/>
      <c r="R50" s="18"/>
      <c r="S50" s="364" t="s">
        <v>692</v>
      </c>
      <c r="T50" s="348" t="e">
        <f>($B$17-$B$16)/ABS($M$17)/ABS($M$19)</f>
        <v>#DIV/0!</v>
      </c>
      <c r="U50" s="348">
        <f>IF(AND(MIN($U$38:$U$39)&gt;=$B$16,MAX($U$38:$U$39)&lt;=$B$17),$E$22,IF(AND($T$35="No",$T$36="No"),0,IF(AND($T$36="Yes",$T$35="No"),$E$22-$U$51-$U$52,IF(AND($T$36="Yes",$T$35="Yes"),$E$22-$W$35-$U$51-$U$52,$E$22-$W$35))))</f>
        <v>0</v>
      </c>
      <c r="V50" s="348">
        <f>IF($U$50=0,0,IF(OR($B$25=0,$B$25=180,$B$25=360),$U$38,$U$35+(($X$35-$C$16)/($AB$34-$AA$40))))</f>
        <v>0</v>
      </c>
      <c r="W50" s="348">
        <f>IF($U$50=0,0,IF(OR($B$25=0,$B$25=180,$B$25=360),(($U$38-$B$16)*$AB$34)+$C$16,$X$35+(($V$50-$U$35)*$AA$40)))</f>
        <v>0</v>
      </c>
      <c r="X50" s="348">
        <f>IF(OR($U$50=0,AND($C$25=0,$B$25=0),AND($C$25=0,$B$25=360),AND($C$25=0,$B$25=180)),0,IF(OR($B$25=0,$B$25=180,$B$25=360),$E$22-ABS(($X$39-$W$50)/$M$20),IF(AND($U$38&lt;=$U$39,$X$38&gt;=$Y$38),ABS(($X$38-$W$50)/($AA$40*$M$17*$M$19)),IF(AND($U$38&lt;=$U$39,$X$38&lt;$Y$38),ABS($E$22-(ABS(($X$38-$W$50)/($AA$40*$M$17*$M$19)))),IF(AND($U$38&gt;$U$39,$X$39&gt;=$Y$39),ABS(($X$39-$W$50)/($AA$40*$M$17*$M$19)),IF(AND($U$38&gt;=$U$39,$X$39&lt;$Y$39),ABS($E$22-(ABS(($X$38-$W$50)/($AA$40*$M$17*$M$19))))))))))</f>
        <v>0</v>
      </c>
      <c r="Y50" s="348" t="str">
        <f>IF(AND($U$50=0,$W$50=0),"No",IF(AND($V$50&lt;=$B$17,$V$50&gt;=$B$16,$V$50&gt;=MIN($U$38:$U$39),$V$50&lt;=MAX($U$38:$U$39),$W$50&lt;$C$17,$X$50&lt;=$E$22),"Yes","No"))</f>
        <v>No</v>
      </c>
      <c r="Z50" s="344" t="str">
        <f>IF($U$50=0,"No",IF($Y$50="Yes","Partial",IF(AND($U$50&lt;$E$22,$X$39&lt;$Y$39,$Y$47="No",$Y$48="No",$Y$49="No",$Y$50="No",$Y$51="No",$Y$52="No"),"Yes",IF(AND($Y$50="No",$X$35&gt;$Y$35),"No","Yes"))))</f>
        <v>No</v>
      </c>
      <c r="AA50" s="344" t="str">
        <f>IF($Z$50="Yes","None",IF(AND($Z$50="No",$U$50=0),"None",IF($Z$50="No","All",IF(AND($X$39&gt;=$Y$39,$U$39&gt;=$U$38,$AA$51&lt;&gt;"Right"),"Right","Left"))))</f>
        <v>None</v>
      </c>
      <c r="AB50" s="394">
        <f>IF($U$50=0,0,IF($Z$50="No",0,IF($Z$50="Yes",$U$50,IF(OR($U$50=$E$22,AND($AA$50="Right",MIN($U$38:$U$39)&lt;=$B$16,MAX($U$38:$U$39)&lt;=$B$17)),$U$50-(ABS(($U$39-$V$50)/($M$17*$M$19))),IF($AA$50="Right",$U$50-(ABS(($B$17-$V$50)/($M$17*$M$19))),IF(MIN($U$38:$U$39)&lt;=$B$16,$U$50-(ABS(($V$50-$B$16)/($M$17*$M$19))),ABS(($V$50-$B$17)/($M$17*$M$19))))))))</f>
        <v>0</v>
      </c>
      <c r="AI50" s="364">
        <v>5</v>
      </c>
      <c r="AJ50" s="330">
        <f t="shared" si="39"/>
        <v>0</v>
      </c>
      <c r="AK50" s="344" t="str">
        <f t="shared" si="20"/>
        <v>None</v>
      </c>
      <c r="AL50" s="330">
        <f t="shared" si="55"/>
        <v>0</v>
      </c>
      <c r="AM50" s="336">
        <f t="shared" si="51"/>
        <v>0</v>
      </c>
      <c r="AN50" s="330">
        <f t="shared" si="40"/>
        <v>0</v>
      </c>
      <c r="AO50" s="437">
        <f t="shared" si="52"/>
        <v>0</v>
      </c>
      <c r="AP50" s="348" t="b">
        <f t="shared" si="53"/>
        <v>0</v>
      </c>
      <c r="AQ50" s="348">
        <f t="shared" si="21"/>
        <v>0</v>
      </c>
      <c r="AR50" s="348">
        <f t="shared" si="22"/>
        <v>0</v>
      </c>
      <c r="AS50" s="348">
        <f t="shared" si="41"/>
        <v>0</v>
      </c>
      <c r="AT50" s="348" t="str">
        <f t="shared" si="42"/>
        <v/>
      </c>
      <c r="AU50" s="348" t="str">
        <f t="shared" si="43"/>
        <v/>
      </c>
      <c r="AV50" s="348">
        <f t="shared" si="44"/>
        <v>0</v>
      </c>
      <c r="AW50" s="348">
        <f t="shared" si="23"/>
        <v>0</v>
      </c>
      <c r="AX50" s="348">
        <f t="shared" si="24"/>
        <v>0</v>
      </c>
      <c r="AY50" s="330">
        <f t="shared" si="25"/>
        <v>0</v>
      </c>
      <c r="AZ50" s="330">
        <f t="shared" si="26"/>
        <v>0</v>
      </c>
      <c r="BA50" s="330">
        <f t="shared" si="27"/>
        <v>0</v>
      </c>
      <c r="BB50" s="330">
        <f t="shared" si="28"/>
        <v>0</v>
      </c>
      <c r="BC50" s="330">
        <f t="shared" si="29"/>
        <v>0</v>
      </c>
      <c r="BD50" s="330">
        <f t="shared" si="30"/>
        <v>0</v>
      </c>
      <c r="BE50" s="330">
        <f t="shared" si="45"/>
        <v>0</v>
      </c>
      <c r="BF50" s="330">
        <f t="shared" si="46"/>
        <v>0</v>
      </c>
      <c r="BG50" s="330">
        <f t="shared" si="31"/>
        <v>0</v>
      </c>
      <c r="BH50" s="330" t="str">
        <f t="shared" si="32"/>
        <v/>
      </c>
      <c r="BI50" s="330" t="str">
        <f t="shared" si="47"/>
        <v/>
      </c>
      <c r="BJ50" s="330" t="str">
        <f t="shared" si="48"/>
        <v/>
      </c>
      <c r="BK50" s="330" t="str">
        <f t="shared" si="33"/>
        <v/>
      </c>
      <c r="BL50" s="330" t="str">
        <f t="shared" si="34"/>
        <v/>
      </c>
      <c r="BM50" s="330" t="str">
        <f t="shared" si="49"/>
        <v/>
      </c>
      <c r="BN50" s="330" t="str">
        <f t="shared" si="54"/>
        <v/>
      </c>
      <c r="BO50" s="330">
        <f t="shared" si="35"/>
        <v>0</v>
      </c>
      <c r="BP50" s="330">
        <f t="shared" si="36"/>
        <v>0</v>
      </c>
      <c r="BQ50" s="330">
        <f t="shared" si="37"/>
        <v>0</v>
      </c>
      <c r="BR50" s="330" t="str">
        <f t="shared" si="38"/>
        <v/>
      </c>
      <c r="BS50" s="432" t="str">
        <f t="shared" si="50"/>
        <v/>
      </c>
    </row>
    <row r="51" spans="1:71" ht="17.45" customHeight="1" thickBot="1">
      <c r="A51" s="174" t="s">
        <v>585</v>
      </c>
      <c r="B51" s="175" t="s">
        <v>492</v>
      </c>
      <c r="C51" s="176" t="s">
        <v>493</v>
      </c>
      <c r="D51" s="176" t="s">
        <v>494</v>
      </c>
      <c r="E51" s="263" t="s">
        <v>757</v>
      </c>
      <c r="F51" s="280" t="s">
        <v>495</v>
      </c>
      <c r="G51" s="657"/>
      <c r="H51" s="278" t="s">
        <v>857</v>
      </c>
      <c r="I51" s="655">
        <f>$BK$43</f>
        <v>0</v>
      </c>
      <c r="J51" s="657"/>
      <c r="N51" s="992" t="str">
        <f>IF(OR($D$22="",$D$22="No"),"","Rootwad Position")</f>
        <v/>
      </c>
      <c r="O51" s="993"/>
      <c r="P51" s="18"/>
      <c r="Q51" s="18"/>
      <c r="R51" s="18"/>
      <c r="S51" s="364" t="s">
        <v>669</v>
      </c>
      <c r="T51" s="348" t="e">
        <f>($B$18-$B$17)/ABS($M$17)/ABS($M$19)</f>
        <v>#DIV/0!</v>
      </c>
      <c r="U51" s="348">
        <f>IF(AND(MIN($U$38:$U$39)&gt;=$B$17,MAX($U$38:$U$39)&lt;=$B$18),$E$22,IF(AND($T$36="No",$T$37="No"),0,$E$22-$W$36-$U$52))</f>
        <v>0</v>
      </c>
      <c r="V51" s="348">
        <f>IF($U$51=0,0,IF(OR($B$25=0,$B$25=180,$B$25=360),$U$38,$U$36+(($X$36-$C$17)/($AB$35-$AA$40))))</f>
        <v>0</v>
      </c>
      <c r="W51" s="348">
        <f>IF($U$51=0,0,IF(OR($B$25=0,$B$25=180,$B$25=360),(($U$38-$B$17)*$AB$35)+$C$17,$X$36+(($V$51-$U$36)*$AA$40)))</f>
        <v>0</v>
      </c>
      <c r="X51" s="348">
        <f>IF($U$51=0,0,IF(OR($B$25=0,$B$25=180,$B$25=360),$E$22-ABS(($X$39-$W$51)/$M$20),IF(AND($U$38&lt;=$U$39,$X$38&gt;=$Y$38),ABS(($X$38-$W$51)/($AA$40*$M$17*$M$19)),IF(AND($U$38&lt;=$U$39,$X$38&lt;$Y$38),ABS($E$22-(ABS(($X$38-$W$51)/($AA$40*$M$17*$M$19)))),IF(AND($U$38&gt;$U$39,$X$39&gt;=$Y$39),ABS(($X$39-$W$51)/($AA$40*$M$17*$M$19)),IF(AND($U$38&gt;=$U$39,$X$39&lt;$Y$39),ABS($E$22-(ABS(($X$38-$W$51)/($AA$40*$M$17*$M$19))))))))))</f>
        <v>0</v>
      </c>
      <c r="Y51" s="348" t="str">
        <f>IF(AND($U$51=0,$W$51=0),"No",IF(AND($V$51&lt;=$B$18,$V$51&gt;=$B$17,$V$51&gt;=MIN($U$38:$U$39),$V$51&lt;=MAX($U$38:$U$39),$W$51&lt;$C$18,$X$51&lt;=$E$22),"Yes","No"))</f>
        <v>No</v>
      </c>
      <c r="Z51" s="344" t="str">
        <f>IF($U$51=0,"No",IF($Y$51="Yes","Partial",IF(AND($U$51&lt;$E$22,$X$39&lt;$Y$39,$Y$47="No",$Y$48="No",$Y$49="No",$Y$50="No",$Y$51="No",$Y$52="No"),"Yes",IF(AND($Y$51="No",$X$36&gt;$Y$36),"No","Yes"))))</f>
        <v>No</v>
      </c>
      <c r="AA51" s="344" t="str">
        <f>IF($Z$51="Yes","None",IF(AND($Z$51="No",$U$51=0),"None",IF($Z$51="No","All",IF(AND($X$39&gt;=$Y$39,$U$39&gt;=$U$38,$AA$52&lt;&gt;"Right"),"Right","Left"))))</f>
        <v>None</v>
      </c>
      <c r="AB51" s="394">
        <f>IF($U$51=0,0,IF($Z$51="No",0,IF($Z$51="Yes",$U$51,IF(OR($U$51=$E$22,AND($AA$51="Right",MIN($U$38:$U$39)&lt;=$B$17,MAX($U$38:$U$39)&lt;=$B$18)),$U$51-(ABS(($U$39-$V$51)/($M$17*$M$19))),IF($AA$51="Right",$U$51-(ABS(($B$18-$V$51)/($M$17*$M$19))),IF(MIN($U$38:$U$39)&lt;=$B$17,$U$51-(ABS(($V$51-$B$17)/($M$17*$M$19))),ABS(($V$51-$B$18)/($M$17*$M$19))))))))</f>
        <v>0</v>
      </c>
      <c r="AI51" s="364">
        <v>6</v>
      </c>
      <c r="AJ51" s="330">
        <f t="shared" si="39"/>
        <v>0</v>
      </c>
      <c r="AK51" s="344" t="str">
        <f t="shared" si="20"/>
        <v>None</v>
      </c>
      <c r="AL51" s="330">
        <f t="shared" si="55"/>
        <v>0</v>
      </c>
      <c r="AM51" s="336">
        <f t="shared" si="51"/>
        <v>0</v>
      </c>
      <c r="AN51" s="330">
        <f t="shared" si="40"/>
        <v>0</v>
      </c>
      <c r="AO51" s="437">
        <f t="shared" si="52"/>
        <v>0</v>
      </c>
      <c r="AP51" s="348" t="b">
        <f t="shared" si="53"/>
        <v>0</v>
      </c>
      <c r="AQ51" s="348">
        <f t="shared" si="21"/>
        <v>0</v>
      </c>
      <c r="AR51" s="348">
        <f t="shared" si="22"/>
        <v>0</v>
      </c>
      <c r="AS51" s="348">
        <f t="shared" si="41"/>
        <v>0</v>
      </c>
      <c r="AT51" s="348" t="str">
        <f t="shared" si="42"/>
        <v/>
      </c>
      <c r="AU51" s="348" t="str">
        <f t="shared" si="43"/>
        <v/>
      </c>
      <c r="AV51" s="348">
        <f t="shared" si="44"/>
        <v>0</v>
      </c>
      <c r="AW51" s="348">
        <f t="shared" si="23"/>
        <v>0</v>
      </c>
      <c r="AX51" s="348">
        <f t="shared" si="24"/>
        <v>0</v>
      </c>
      <c r="AY51" s="330">
        <f t="shared" si="25"/>
        <v>0</v>
      </c>
      <c r="AZ51" s="330">
        <f t="shared" si="26"/>
        <v>0</v>
      </c>
      <c r="BA51" s="330">
        <f t="shared" si="27"/>
        <v>0</v>
      </c>
      <c r="BB51" s="330">
        <f t="shared" si="28"/>
        <v>0</v>
      </c>
      <c r="BC51" s="330">
        <f t="shared" si="29"/>
        <v>0</v>
      </c>
      <c r="BD51" s="330">
        <f t="shared" si="30"/>
        <v>0</v>
      </c>
      <c r="BE51" s="330">
        <f t="shared" si="45"/>
        <v>0</v>
      </c>
      <c r="BF51" s="330">
        <f t="shared" si="46"/>
        <v>0</v>
      </c>
      <c r="BG51" s="330">
        <f t="shared" si="31"/>
        <v>0</v>
      </c>
      <c r="BH51" s="330" t="str">
        <f t="shared" si="32"/>
        <v/>
      </c>
      <c r="BI51" s="330" t="str">
        <f t="shared" si="47"/>
        <v/>
      </c>
      <c r="BJ51" s="330" t="str">
        <f t="shared" si="48"/>
        <v/>
      </c>
      <c r="BK51" s="330" t="str">
        <f t="shared" si="33"/>
        <v/>
      </c>
      <c r="BL51" s="330" t="str">
        <f t="shared" si="34"/>
        <v/>
      </c>
      <c r="BM51" s="330" t="str">
        <f t="shared" si="49"/>
        <v/>
      </c>
      <c r="BN51" s="330" t="str">
        <f t="shared" si="54"/>
        <v/>
      </c>
      <c r="BO51" s="330">
        <f t="shared" si="35"/>
        <v>0</v>
      </c>
      <c r="BP51" s="330">
        <f t="shared" si="36"/>
        <v>0</v>
      </c>
      <c r="BQ51" s="330">
        <f t="shared" si="37"/>
        <v>0</v>
      </c>
      <c r="BR51" s="330" t="str">
        <f t="shared" si="38"/>
        <v/>
      </c>
      <c r="BS51" s="432" t="str">
        <f t="shared" si="50"/>
        <v/>
      </c>
    </row>
    <row r="52" spans="1:71" ht="15" thickBot="1">
      <c r="A52" s="493" t="s">
        <v>840</v>
      </c>
      <c r="B52" s="275">
        <f>IF(OR($E$22="",$F$22=""),0,IF($AH$17="Case 1",$AL$17-$AJ$21,IF($AH$17="Case 2",$AL$17-$AJ$26,IF($AH$17="Case 3",$AL$17-$AJ$30,IF($AH$17="Case 4",$AL$17-$AJ$37,IF($AH$17="Log is completely submerged",0,IF($AH$17="Stem is dry",PI()*(($F$22/2)^2)*($E$22-$G$22),"")))))))</f>
        <v>0</v>
      </c>
      <c r="C52" s="496">
        <f>IF(OR($E$22="",$F$22="",$D$22="No",$D$22=""),0,$BL$40*(1-RWporosity))</f>
        <v>0</v>
      </c>
      <c r="D52" s="496">
        <f>B52+C52</f>
        <v>0</v>
      </c>
      <c r="E52" s="495">
        <f>IF($I$22="",0,($B$52*$I$22)+($C$52*$I$22))</f>
        <v>0</v>
      </c>
      <c r="F52" s="497">
        <v>0</v>
      </c>
      <c r="G52" s="657"/>
      <c r="H52" s="653" t="s">
        <v>496</v>
      </c>
      <c r="I52" s="654">
        <f>IF($J$6="",0,$I$51*$J$25*SWWater*(($J$6^2)/(2*g)))</f>
        <v>0</v>
      </c>
      <c r="J52" s="657"/>
      <c r="N52" s="978" t="str">
        <f>IF($D$22="","",IF($D$22="No","No Rootwad",IF($U$15&gt;=$AE$8,"Above high water",IF($U$10&lt;=$C$16,"Buried in bed",IF(OR($AE$48&lt;=$B$14,$AE$48&gt;=$B$18),"On bank/buried in bank","Exposed in stream")))))</f>
        <v/>
      </c>
      <c r="O52" s="979"/>
      <c r="P52" s="18"/>
      <c r="Q52" s="18"/>
      <c r="R52" s="18"/>
      <c r="S52" s="365" t="s">
        <v>670</v>
      </c>
      <c r="T52" s="355" t="e">
        <f>($B$19-$B$18)/ABS($M$17)/ABS($M$19)</f>
        <v>#DIV/0!</v>
      </c>
      <c r="U52" s="355">
        <f>IF(MIN($U$38:$U$39)&gt;=$B$18,$E$22,IF($T$37="No",0,$E$22-$W$37))</f>
        <v>0</v>
      </c>
      <c r="V52" s="355">
        <f>IF($U$52=0,0,IF(OR($B$25=0,$B$25=180,$B$25=360),$U$38,$U$37+(($X$37-$C$18)/($AB$36-$AA$40))))</f>
        <v>0</v>
      </c>
      <c r="W52" s="355">
        <f>IF($U$52=0,0,IF(OR($B$25=0,$B$25=180,$B$25=360),(($U$38-$B$18)*$AB$36)+$C$18,$X$37+(($V$52-$U$37)*$AA$40)))</f>
        <v>0</v>
      </c>
      <c r="X52" s="355">
        <f>IF($U$52=0,0,IF(OR($B$25=0,$B$25=180,$B$25=360),$E$22-ABS(($X$39-$W$52)/$M$20),IF(AND($U$38&lt;=$U$39,$X$38&gt;=$Y$38),ABS(($X$38-$W$52)/($AA$40*$M$17*$M$19)),IF(AND($U$38&lt;=$U$39,$X$38&lt;$Y$38),ABS($E$22-(ABS(($X$38-$W$52)/($AA$40*$M$17*$M$19)))),IF(AND($U$38&gt;$U$39,$X$39&gt;=$Y$39),ABS(($X$39-$W$52)/($AA$40*$M$17*$M$19)),IF(AND($U$38&gt;=$U$39,$X$39&lt;$Y$39),ABS($E$22-(ABS(($X$38-$W$52)/($AA$40*$M$17*$M$19))))))))))</f>
        <v>0</v>
      </c>
      <c r="Y52" s="355" t="str">
        <f>IF(AND($U$52=0,$W$52=0),"No",IF(AND($V$52&lt;=$B$19,$V$52&gt;=$B$18,$V$52&gt;=MIN($U$38:$U$39),$V$52&lt;=MAX($U$38:$U$39),$W$52&lt;$C$19,$X$52&lt;=$E$22),"Yes","No"))</f>
        <v>No</v>
      </c>
      <c r="Z52" s="409" t="str">
        <f>IF($U$52=0,"No",IF($Y$52="Yes","Partial",IF(AND($U$52&lt;$E$22,$X$39&lt;$Y$39,$Y$47="No",$Y$48="No",$Y$49="No",$Y$50="No",$Y$51="No",$Y$52="No"),"Yes",IF(AND($Y$52="No",$X$37&gt;$Y$37),"No","Yes"))))</f>
        <v>No</v>
      </c>
      <c r="AA52" s="409" t="str">
        <f>IF($Z$52="Yes","None",IF(AND($Z$52="No",$U$52=0),"None",IF($Z$52="No","All",IF(AND($X$39&gt;=$Y$39,$U$39&gt;=$U$38),"Right","Left"))))</f>
        <v>None</v>
      </c>
      <c r="AB52" s="403">
        <f>IF($U$52=0,0,IF($Z$52="No",0,IF($Z$52="Yes",$U$52,IF(OR($AA$52="Right",$U$52=$E$22),$U$52-(ABS(($U$39-$V$52)/($M$17*$M$19))),$U$52-(ABS(($V$52-$B$18)/($M$17*$M$19)))))))</f>
        <v>0</v>
      </c>
      <c r="AI52" s="364">
        <v>7</v>
      </c>
      <c r="AJ52" s="330">
        <f t="shared" si="39"/>
        <v>0</v>
      </c>
      <c r="AK52" s="344" t="str">
        <f t="shared" si="20"/>
        <v>None</v>
      </c>
      <c r="AL52" s="330">
        <f t="shared" si="55"/>
        <v>0</v>
      </c>
      <c r="AM52" s="336">
        <f t="shared" si="51"/>
        <v>0</v>
      </c>
      <c r="AN52" s="330">
        <f t="shared" si="40"/>
        <v>0</v>
      </c>
      <c r="AO52" s="437">
        <f t="shared" si="52"/>
        <v>0</v>
      </c>
      <c r="AP52" s="348" t="b">
        <f t="shared" si="53"/>
        <v>0</v>
      </c>
      <c r="AQ52" s="348">
        <f t="shared" si="21"/>
        <v>0</v>
      </c>
      <c r="AR52" s="348">
        <f t="shared" si="22"/>
        <v>0</v>
      </c>
      <c r="AS52" s="348">
        <f t="shared" si="41"/>
        <v>0</v>
      </c>
      <c r="AT52" s="348" t="str">
        <f t="shared" si="42"/>
        <v/>
      </c>
      <c r="AU52" s="348" t="str">
        <f t="shared" si="43"/>
        <v/>
      </c>
      <c r="AV52" s="348">
        <f t="shared" si="44"/>
        <v>0</v>
      </c>
      <c r="AW52" s="348">
        <f t="shared" si="23"/>
        <v>0</v>
      </c>
      <c r="AX52" s="348">
        <f t="shared" si="24"/>
        <v>0</v>
      </c>
      <c r="AY52" s="330">
        <f t="shared" si="25"/>
        <v>0</v>
      </c>
      <c r="AZ52" s="330">
        <f t="shared" si="26"/>
        <v>0</v>
      </c>
      <c r="BA52" s="330">
        <f t="shared" si="27"/>
        <v>0</v>
      </c>
      <c r="BB52" s="330">
        <f t="shared" si="28"/>
        <v>0</v>
      </c>
      <c r="BC52" s="330">
        <f t="shared" si="29"/>
        <v>0</v>
      </c>
      <c r="BD52" s="330">
        <f t="shared" si="30"/>
        <v>0</v>
      </c>
      <c r="BE52" s="330">
        <f t="shared" si="45"/>
        <v>0</v>
      </c>
      <c r="BF52" s="330">
        <f t="shared" si="46"/>
        <v>0</v>
      </c>
      <c r="BG52" s="330">
        <f t="shared" si="31"/>
        <v>0</v>
      </c>
      <c r="BH52" s="330" t="str">
        <f t="shared" si="32"/>
        <v/>
      </c>
      <c r="BI52" s="330" t="str">
        <f t="shared" si="47"/>
        <v/>
      </c>
      <c r="BJ52" s="330" t="str">
        <f t="shared" si="48"/>
        <v/>
      </c>
      <c r="BK52" s="330" t="str">
        <f t="shared" si="33"/>
        <v/>
      </c>
      <c r="BL52" s="330" t="str">
        <f t="shared" si="34"/>
        <v/>
      </c>
      <c r="BM52" s="330" t="str">
        <f t="shared" si="49"/>
        <v/>
      </c>
      <c r="BN52" s="330" t="str">
        <f t="shared" si="54"/>
        <v/>
      </c>
      <c r="BO52" s="330">
        <f t="shared" si="35"/>
        <v>0</v>
      </c>
      <c r="BP52" s="330">
        <f t="shared" si="36"/>
        <v>0</v>
      </c>
      <c r="BQ52" s="330">
        <f t="shared" si="37"/>
        <v>0</v>
      </c>
      <c r="BR52" s="330" t="str">
        <f t="shared" si="38"/>
        <v/>
      </c>
      <c r="BS52" s="432" t="str">
        <f t="shared" si="50"/>
        <v/>
      </c>
    </row>
    <row r="53" spans="1:71" ht="13.5" thickBot="1">
      <c r="A53" s="493" t="s">
        <v>841</v>
      </c>
      <c r="B53" s="492">
        <f>IF(OR($E$22="",$F$22=""),0,IF(AND(MIN($U$10:$U$15)&gt;=$C$16,MAX($U$10:$U$15)&lt;=$AE$8),PI()*(($F$22/2)^2)*($E$22-$G$22),(PI()*(($F$22/2)^2)*($E$22-$G$22))-$B$52-$B$54))</f>
        <v>0</v>
      </c>
      <c r="C53" s="490">
        <f>IF(OR($F$22="",$D$22="No"),0,((1/3)*PI()*(($H$22/2)^2+($F$22/2)^2+(($H$22/2)*($F$22/2)))*$G$22*(1-RWporosity))-$C$52-$C$54)</f>
        <v>0</v>
      </c>
      <c r="D53" s="490">
        <f>B53+C53</f>
        <v>0</v>
      </c>
      <c r="E53" s="491">
        <f>IF($I$22="",0,($B$53*$I$22)+($C$53*$I$22))</f>
        <v>0</v>
      </c>
      <c r="F53" s="499">
        <f>($D$53*SWWater)</f>
        <v>0</v>
      </c>
      <c r="G53" s="657"/>
      <c r="H53" s="1003" t="s">
        <v>458</v>
      </c>
      <c r="I53" s="1004"/>
      <c r="J53" s="1004"/>
      <c r="L53" s="276" t="s">
        <v>762</v>
      </c>
      <c r="M53" s="189"/>
      <c r="N53" s="19"/>
      <c r="P53" s="18"/>
      <c r="Q53" s="18"/>
      <c r="R53" s="18"/>
      <c r="T53" s="401" t="s">
        <v>682</v>
      </c>
      <c r="U53" s="399">
        <f>SUM(U47:U52)</f>
        <v>0</v>
      </c>
      <c r="V53" s="362" t="str">
        <f>IF($U$53=$E$22,"OK","ERROR")</f>
        <v>OK</v>
      </c>
      <c r="AA53" s="272" t="s">
        <v>457</v>
      </c>
      <c r="AB53" s="399">
        <f>SUM(AB47:AB52)</f>
        <v>0</v>
      </c>
      <c r="AI53" s="364">
        <v>8</v>
      </c>
      <c r="AJ53" s="330">
        <f t="shared" si="39"/>
        <v>0</v>
      </c>
      <c r="AK53" s="344" t="str">
        <f t="shared" si="20"/>
        <v>None</v>
      </c>
      <c r="AL53" s="330">
        <f t="shared" si="55"/>
        <v>0</v>
      </c>
      <c r="AM53" s="336">
        <f t="shared" si="51"/>
        <v>0</v>
      </c>
      <c r="AN53" s="330">
        <f t="shared" si="40"/>
        <v>0</v>
      </c>
      <c r="AO53" s="437">
        <f t="shared" si="52"/>
        <v>0</v>
      </c>
      <c r="AP53" s="348" t="b">
        <f t="shared" si="53"/>
        <v>0</v>
      </c>
      <c r="AQ53" s="348">
        <f t="shared" si="21"/>
        <v>0</v>
      </c>
      <c r="AR53" s="348">
        <f t="shared" si="22"/>
        <v>0</v>
      </c>
      <c r="AS53" s="348">
        <f t="shared" si="41"/>
        <v>0</v>
      </c>
      <c r="AT53" s="348" t="str">
        <f t="shared" si="42"/>
        <v/>
      </c>
      <c r="AU53" s="348" t="str">
        <f t="shared" si="43"/>
        <v/>
      </c>
      <c r="AV53" s="348">
        <f t="shared" si="44"/>
        <v>0</v>
      </c>
      <c r="AW53" s="348">
        <f t="shared" si="23"/>
        <v>0</v>
      </c>
      <c r="AX53" s="348">
        <f t="shared" si="24"/>
        <v>0</v>
      </c>
      <c r="AY53" s="330">
        <f t="shared" si="25"/>
        <v>0</v>
      </c>
      <c r="AZ53" s="330">
        <f t="shared" si="26"/>
        <v>0</v>
      </c>
      <c r="BA53" s="330">
        <f t="shared" si="27"/>
        <v>0</v>
      </c>
      <c r="BB53" s="330">
        <f t="shared" si="28"/>
        <v>0</v>
      </c>
      <c r="BC53" s="330">
        <f t="shared" si="29"/>
        <v>0</v>
      </c>
      <c r="BD53" s="330">
        <f t="shared" si="30"/>
        <v>0</v>
      </c>
      <c r="BE53" s="330">
        <f t="shared" si="45"/>
        <v>0</v>
      </c>
      <c r="BF53" s="330">
        <f t="shared" si="46"/>
        <v>0</v>
      </c>
      <c r="BG53" s="330">
        <f t="shared" si="31"/>
        <v>0</v>
      </c>
      <c r="BH53" s="330" t="str">
        <f t="shared" si="32"/>
        <v/>
      </c>
      <c r="BI53" s="330" t="str">
        <f t="shared" si="47"/>
        <v/>
      </c>
      <c r="BJ53" s="330" t="str">
        <f t="shared" si="48"/>
        <v/>
      </c>
      <c r="BK53" s="330" t="str">
        <f t="shared" si="33"/>
        <v/>
      </c>
      <c r="BL53" s="330" t="str">
        <f t="shared" si="34"/>
        <v/>
      </c>
      <c r="BM53" s="330" t="str">
        <f t="shared" si="49"/>
        <v/>
      </c>
      <c r="BN53" s="330" t="str">
        <f t="shared" si="54"/>
        <v/>
      </c>
      <c r="BO53" s="330">
        <f t="shared" si="35"/>
        <v>0</v>
      </c>
      <c r="BP53" s="330">
        <f t="shared" si="36"/>
        <v>0</v>
      </c>
      <c r="BQ53" s="330">
        <f t="shared" si="37"/>
        <v>0</v>
      </c>
      <c r="BR53" s="330" t="str">
        <f t="shared" si="38"/>
        <v/>
      </c>
      <c r="BS53" s="432" t="str">
        <f t="shared" si="50"/>
        <v/>
      </c>
    </row>
    <row r="54" spans="1:71" ht="16.899999999999999" customHeight="1" thickBot="1">
      <c r="A54" s="494" t="s">
        <v>839</v>
      </c>
      <c r="B54" s="274">
        <f>IF(OR($E$22="",$F$22=""),0,IF($AS$17="Case 1",$AU$21,IF($AS$17="Case 2",$AU$26,IF($AS$17="Case 3",$AU$30,IF($AS$17="Case 4",$AU$37,IF($AS$17="Log is completely submerged",PI()*(($F$22/2)^2)*($E$22-$G$22),IF($AS$17="Stem is dry",0,"")))))))</f>
        <v>0</v>
      </c>
      <c r="C54" s="546">
        <f>IF(OR($E$22="",$F$22="",$D$22="No",$D$22=""),0,$BO$40*(1-RWporosity))</f>
        <v>0</v>
      </c>
      <c r="D54" s="274">
        <f>B54+C54</f>
        <v>0</v>
      </c>
      <c r="E54" s="285">
        <f>IF($J$22="",0,($B$54*$J$22)+($C$54*$J$22))</f>
        <v>0</v>
      </c>
      <c r="F54" s="500">
        <f>($D$54*SWWater)</f>
        <v>0</v>
      </c>
      <c r="G54" s="657"/>
      <c r="H54" s="278" t="s">
        <v>495</v>
      </c>
      <c r="I54" s="517">
        <f>$F$55</f>
        <v>0</v>
      </c>
      <c r="J54" s="692" t="str">
        <f t="shared" ref="J54:J60" si="56">IF($L54=0,"",IF($L54&gt;0,CHAR(233),CHAR(234)))</f>
        <v/>
      </c>
      <c r="L54" s="647">
        <f>$F$55</f>
        <v>0</v>
      </c>
      <c r="N54" s="401" t="s">
        <v>468</v>
      </c>
      <c r="O54" s="362" t="str">
        <f>IF(OR($D$22="",$B$25="",$N$52=""),"",IF($D$22="No","use CD stem",IF(AND($D$22="Yes",$N$52="Exposed in stream"),"use CD RW","use CD stem")))</f>
        <v/>
      </c>
      <c r="P54" s="18"/>
      <c r="Q54" s="18"/>
      <c r="R54" s="18"/>
      <c r="AI54" s="364">
        <v>9</v>
      </c>
      <c r="AJ54" s="330">
        <f t="shared" si="39"/>
        <v>0</v>
      </c>
      <c r="AK54" s="344" t="str">
        <f t="shared" si="20"/>
        <v>None</v>
      </c>
      <c r="AL54" s="330">
        <f t="shared" si="55"/>
        <v>0</v>
      </c>
      <c r="AM54" s="336">
        <f t="shared" si="51"/>
        <v>0</v>
      </c>
      <c r="AN54" s="330">
        <f t="shared" si="40"/>
        <v>0</v>
      </c>
      <c r="AO54" s="437">
        <f t="shared" si="52"/>
        <v>0</v>
      </c>
      <c r="AP54" s="348" t="b">
        <f t="shared" si="53"/>
        <v>0</v>
      </c>
      <c r="AQ54" s="348">
        <f t="shared" si="21"/>
        <v>0</v>
      </c>
      <c r="AR54" s="348">
        <f t="shared" si="22"/>
        <v>0</v>
      </c>
      <c r="AS54" s="348">
        <f t="shared" si="41"/>
        <v>0</v>
      </c>
      <c r="AT54" s="348" t="str">
        <f t="shared" si="42"/>
        <v/>
      </c>
      <c r="AU54" s="348" t="str">
        <f t="shared" si="43"/>
        <v/>
      </c>
      <c r="AV54" s="348">
        <f t="shared" si="44"/>
        <v>0</v>
      </c>
      <c r="AW54" s="348">
        <f t="shared" si="23"/>
        <v>0</v>
      </c>
      <c r="AX54" s="348">
        <f t="shared" si="24"/>
        <v>0</v>
      </c>
      <c r="AY54" s="330">
        <f t="shared" si="25"/>
        <v>0</v>
      </c>
      <c r="AZ54" s="330">
        <f t="shared" si="26"/>
        <v>0</v>
      </c>
      <c r="BA54" s="330">
        <f t="shared" si="27"/>
        <v>0</v>
      </c>
      <c r="BB54" s="330">
        <f t="shared" si="28"/>
        <v>0</v>
      </c>
      <c r="BC54" s="330">
        <f t="shared" si="29"/>
        <v>0</v>
      </c>
      <c r="BD54" s="330">
        <f t="shared" si="30"/>
        <v>0</v>
      </c>
      <c r="BE54" s="330">
        <f t="shared" si="45"/>
        <v>0</v>
      </c>
      <c r="BF54" s="330">
        <f t="shared" si="46"/>
        <v>0</v>
      </c>
      <c r="BG54" s="330">
        <f t="shared" si="31"/>
        <v>0</v>
      </c>
      <c r="BH54" s="330" t="str">
        <f t="shared" si="32"/>
        <v/>
      </c>
      <c r="BI54" s="330" t="str">
        <f t="shared" si="47"/>
        <v/>
      </c>
      <c r="BJ54" s="330" t="str">
        <f t="shared" si="48"/>
        <v/>
      </c>
      <c r="BK54" s="330" t="str">
        <f t="shared" si="33"/>
        <v/>
      </c>
      <c r="BL54" s="330" t="str">
        <f t="shared" si="34"/>
        <v/>
      </c>
      <c r="BM54" s="330" t="str">
        <f t="shared" si="49"/>
        <v/>
      </c>
      <c r="BN54" s="330" t="str">
        <f t="shared" si="54"/>
        <v/>
      </c>
      <c r="BO54" s="330">
        <f t="shared" si="35"/>
        <v>0</v>
      </c>
      <c r="BP54" s="330">
        <f t="shared" si="36"/>
        <v>0</v>
      </c>
      <c r="BQ54" s="330">
        <f t="shared" si="37"/>
        <v>0</v>
      </c>
      <c r="BR54" s="330" t="str">
        <f t="shared" si="38"/>
        <v/>
      </c>
      <c r="BS54" s="432" t="str">
        <f t="shared" si="50"/>
        <v/>
      </c>
    </row>
    <row r="55" spans="1:71" ht="15.75" thickTop="1" thickBot="1">
      <c r="A55" s="177" t="s">
        <v>457</v>
      </c>
      <c r="B55" s="619">
        <f>$B$52+$B$53+$B$54</f>
        <v>0</v>
      </c>
      <c r="C55" s="620">
        <f>$C$52+$C$53+$C$54</f>
        <v>0</v>
      </c>
      <c r="D55" s="620">
        <f>$D$52+$D$53+$D$54</f>
        <v>0</v>
      </c>
      <c r="E55" s="501">
        <f>$E$52+$E$53+$E$54</f>
        <v>0</v>
      </c>
      <c r="F55" s="498">
        <f>$F$53+$F$54+$F$52</f>
        <v>0</v>
      </c>
      <c r="G55" s="657"/>
      <c r="H55" s="279" t="s">
        <v>496</v>
      </c>
      <c r="I55" s="518">
        <f>$I$52</f>
        <v>0</v>
      </c>
      <c r="J55" s="692" t="str">
        <f t="shared" si="56"/>
        <v/>
      </c>
      <c r="L55" s="648">
        <f>$I$52</f>
        <v>0</v>
      </c>
      <c r="N55" s="10" t="s">
        <v>864</v>
      </c>
      <c r="P55" s="573"/>
      <c r="Q55" s="50"/>
      <c r="R55" s="18"/>
      <c r="S55" s="1029" t="s">
        <v>714</v>
      </c>
      <c r="T55" s="1030"/>
      <c r="U55" s="1030"/>
      <c r="V55" s="1030"/>
      <c r="W55" s="1030"/>
      <c r="X55" s="312"/>
      <c r="Y55" s="314"/>
      <c r="AI55" s="364">
        <v>10</v>
      </c>
      <c r="AJ55" s="330">
        <f t="shared" si="39"/>
        <v>0</v>
      </c>
      <c r="AK55" s="344" t="str">
        <f t="shared" si="20"/>
        <v>None</v>
      </c>
      <c r="AL55" s="330">
        <f t="shared" si="55"/>
        <v>0</v>
      </c>
      <c r="AM55" s="336">
        <f t="shared" si="51"/>
        <v>0</v>
      </c>
      <c r="AN55" s="330">
        <f t="shared" si="40"/>
        <v>0</v>
      </c>
      <c r="AO55" s="437">
        <f t="shared" si="52"/>
        <v>0</v>
      </c>
      <c r="AP55" s="348" t="b">
        <f t="shared" si="53"/>
        <v>0</v>
      </c>
      <c r="AQ55" s="348">
        <f t="shared" si="21"/>
        <v>0</v>
      </c>
      <c r="AR55" s="348">
        <f t="shared" si="22"/>
        <v>0</v>
      </c>
      <c r="AS55" s="348">
        <f t="shared" si="41"/>
        <v>0</v>
      </c>
      <c r="AT55" s="348" t="str">
        <f t="shared" si="42"/>
        <v/>
      </c>
      <c r="AU55" s="348" t="str">
        <f t="shared" si="43"/>
        <v/>
      </c>
      <c r="AV55" s="348">
        <f t="shared" si="44"/>
        <v>0</v>
      </c>
      <c r="AW55" s="348">
        <f t="shared" si="23"/>
        <v>0</v>
      </c>
      <c r="AX55" s="348">
        <f t="shared" si="24"/>
        <v>0</v>
      </c>
      <c r="AY55" s="330">
        <f t="shared" si="25"/>
        <v>0</v>
      </c>
      <c r="AZ55" s="330">
        <f t="shared" si="26"/>
        <v>0</v>
      </c>
      <c r="BA55" s="330">
        <f t="shared" si="27"/>
        <v>0</v>
      </c>
      <c r="BB55" s="330">
        <f t="shared" si="28"/>
        <v>0</v>
      </c>
      <c r="BC55" s="330">
        <f t="shared" si="29"/>
        <v>0</v>
      </c>
      <c r="BD55" s="330">
        <f t="shared" si="30"/>
        <v>0</v>
      </c>
      <c r="BE55" s="330">
        <f t="shared" si="45"/>
        <v>0</v>
      </c>
      <c r="BF55" s="330">
        <f t="shared" si="46"/>
        <v>0</v>
      </c>
      <c r="BG55" s="330">
        <f t="shared" si="31"/>
        <v>0</v>
      </c>
      <c r="BH55" s="330" t="str">
        <f t="shared" si="32"/>
        <v/>
      </c>
      <c r="BI55" s="330" t="str">
        <f t="shared" si="47"/>
        <v/>
      </c>
      <c r="BJ55" s="330" t="str">
        <f t="shared" si="48"/>
        <v/>
      </c>
      <c r="BK55" s="330" t="str">
        <f t="shared" si="33"/>
        <v/>
      </c>
      <c r="BL55" s="330" t="str">
        <f t="shared" si="34"/>
        <v/>
      </c>
      <c r="BM55" s="330" t="str">
        <f t="shared" si="49"/>
        <v/>
      </c>
      <c r="BN55" s="330" t="str">
        <f t="shared" si="54"/>
        <v/>
      </c>
      <c r="BO55" s="330">
        <f t="shared" si="35"/>
        <v>0</v>
      </c>
      <c r="BP55" s="330">
        <f t="shared" si="36"/>
        <v>0</v>
      </c>
      <c r="BQ55" s="330">
        <f t="shared" si="37"/>
        <v>0</v>
      </c>
      <c r="BR55" s="330" t="str">
        <f t="shared" si="38"/>
        <v/>
      </c>
      <c r="BS55" s="432" t="str">
        <f t="shared" si="50"/>
        <v/>
      </c>
    </row>
    <row r="56" spans="1:71" ht="15.75" thickBot="1">
      <c r="A56" s="657"/>
      <c r="B56" s="657"/>
      <c r="C56" s="657"/>
      <c r="D56" s="657"/>
      <c r="E56" s="657"/>
      <c r="F56" s="657"/>
      <c r="G56" s="657"/>
      <c r="H56" s="279" t="s">
        <v>757</v>
      </c>
      <c r="I56" s="518">
        <f>$E$55</f>
        <v>0</v>
      </c>
      <c r="J56" s="692" t="str">
        <f t="shared" si="56"/>
        <v/>
      </c>
      <c r="L56" s="648">
        <f>-$E$55</f>
        <v>0</v>
      </c>
      <c r="N56" s="140" t="s">
        <v>467</v>
      </c>
      <c r="O56" s="135" t="s">
        <v>861</v>
      </c>
      <c r="P56" s="18"/>
      <c r="Q56" s="18"/>
      <c r="R56" s="18"/>
      <c r="S56" s="317"/>
      <c r="T56" s="1036" t="s">
        <v>653</v>
      </c>
      <c r="U56" s="990" t="s">
        <v>664</v>
      </c>
      <c r="V56" s="1037"/>
      <c r="W56" s="1037"/>
      <c r="X56" s="1038"/>
      <c r="Y56" s="358" t="s">
        <v>620</v>
      </c>
      <c r="AI56" s="364">
        <v>11</v>
      </c>
      <c r="AJ56" s="330">
        <f t="shared" si="39"/>
        <v>0</v>
      </c>
      <c r="AK56" s="344" t="str">
        <f t="shared" si="20"/>
        <v>None</v>
      </c>
      <c r="AL56" s="330">
        <f t="shared" si="55"/>
        <v>0</v>
      </c>
      <c r="AM56" s="336">
        <f t="shared" si="51"/>
        <v>0</v>
      </c>
      <c r="AN56" s="330">
        <f t="shared" si="40"/>
        <v>0</v>
      </c>
      <c r="AO56" s="437">
        <f t="shared" si="52"/>
        <v>0</v>
      </c>
      <c r="AP56" s="348" t="b">
        <f t="shared" si="53"/>
        <v>0</v>
      </c>
      <c r="AQ56" s="348">
        <f t="shared" si="21"/>
        <v>0</v>
      </c>
      <c r="AR56" s="348">
        <f t="shared" si="22"/>
        <v>0</v>
      </c>
      <c r="AS56" s="348">
        <f t="shared" si="41"/>
        <v>0</v>
      </c>
      <c r="AT56" s="348" t="str">
        <f t="shared" si="42"/>
        <v/>
      </c>
      <c r="AU56" s="348" t="str">
        <f t="shared" si="43"/>
        <v/>
      </c>
      <c r="AV56" s="348">
        <f t="shared" si="44"/>
        <v>0</v>
      </c>
      <c r="AW56" s="348">
        <f t="shared" si="23"/>
        <v>0</v>
      </c>
      <c r="AX56" s="348">
        <f t="shared" si="24"/>
        <v>0</v>
      </c>
      <c r="AY56" s="330">
        <f t="shared" si="25"/>
        <v>0</v>
      </c>
      <c r="AZ56" s="330">
        <f t="shared" si="26"/>
        <v>0</v>
      </c>
      <c r="BA56" s="330">
        <f t="shared" si="27"/>
        <v>0</v>
      </c>
      <c r="BB56" s="330">
        <f t="shared" si="28"/>
        <v>0</v>
      </c>
      <c r="BC56" s="330">
        <f t="shared" si="29"/>
        <v>0</v>
      </c>
      <c r="BD56" s="330">
        <f t="shared" si="30"/>
        <v>0</v>
      </c>
      <c r="BE56" s="330">
        <f t="shared" si="45"/>
        <v>0</v>
      </c>
      <c r="BF56" s="330">
        <f t="shared" si="46"/>
        <v>0</v>
      </c>
      <c r="BG56" s="330">
        <f t="shared" si="31"/>
        <v>0</v>
      </c>
      <c r="BH56" s="330" t="str">
        <f t="shared" si="32"/>
        <v/>
      </c>
      <c r="BI56" s="330" t="str">
        <f t="shared" si="47"/>
        <v/>
      </c>
      <c r="BJ56" s="330" t="str">
        <f t="shared" si="48"/>
        <v/>
      </c>
      <c r="BK56" s="330" t="str">
        <f t="shared" si="33"/>
        <v/>
      </c>
      <c r="BL56" s="330" t="str">
        <f t="shared" si="34"/>
        <v/>
      </c>
      <c r="BM56" s="330" t="str">
        <f t="shared" si="49"/>
        <v/>
      </c>
      <c r="BN56" s="330" t="str">
        <f t="shared" si="54"/>
        <v/>
      </c>
      <c r="BO56" s="330">
        <f t="shared" si="35"/>
        <v>0</v>
      </c>
      <c r="BP56" s="330">
        <f t="shared" si="36"/>
        <v>0</v>
      </c>
      <c r="BQ56" s="330">
        <f t="shared" si="37"/>
        <v>0</v>
      </c>
      <c r="BR56" s="330" t="str">
        <f t="shared" si="38"/>
        <v/>
      </c>
      <c r="BS56" s="432" t="str">
        <f t="shared" si="50"/>
        <v/>
      </c>
    </row>
    <row r="57" spans="1:71" ht="15" thickBot="1">
      <c r="A57" s="971" t="s">
        <v>756</v>
      </c>
      <c r="B57" s="972"/>
      <c r="C57" s="972"/>
      <c r="D57" s="972"/>
      <c r="E57" s="972"/>
      <c r="F57" s="657"/>
      <c r="G57" s="690"/>
      <c r="H57" s="279" t="s">
        <v>497</v>
      </c>
      <c r="I57" s="519">
        <f>$E$61</f>
        <v>0</v>
      </c>
      <c r="J57" s="692" t="str">
        <f t="shared" si="56"/>
        <v/>
      </c>
      <c r="L57" s="648">
        <f>-$E$61</f>
        <v>0</v>
      </c>
      <c r="N57" s="138" t="str">
        <f>IF(OR($O$54="",$O$54="use CD RW"),"",IF($B$25&lt;-180,"Error",IF($B$25&lt;-90,$B$25+180,IF($B$25&lt;0,-$B$25,IF($B$25&lt;=90,$B$25,IF($B$25&lt;=180,180-$B$25,IF($B$25&lt;=270,$B$25-180,IF($B$25&lt;=360,360-$B$25,"Error"))))))))</f>
        <v/>
      </c>
      <c r="O57" s="139" t="str">
        <f>IF($O$54="use CD stem",(1.1173-((5.28*10^-2)*$N$57)+((1.4385*10^-3)*$N$57^2)-((9.7668*10^-6)*$N$57^3)),"")</f>
        <v/>
      </c>
      <c r="P57" s="18"/>
      <c r="Q57" s="18"/>
      <c r="R57" s="18"/>
      <c r="S57" s="378"/>
      <c r="T57" s="1008"/>
      <c r="U57" s="357" t="s">
        <v>733</v>
      </c>
      <c r="V57" s="357" t="s">
        <v>646</v>
      </c>
      <c r="W57" s="357" t="s">
        <v>676</v>
      </c>
      <c r="X57" s="357" t="s">
        <v>732</v>
      </c>
      <c r="Y57" s="358" t="s">
        <v>685</v>
      </c>
      <c r="AI57" s="364">
        <v>12</v>
      </c>
      <c r="AJ57" s="330">
        <f t="shared" si="39"/>
        <v>0</v>
      </c>
      <c r="AK57" s="344" t="str">
        <f t="shared" si="20"/>
        <v>None</v>
      </c>
      <c r="AL57" s="330">
        <f t="shared" si="55"/>
        <v>0</v>
      </c>
      <c r="AM57" s="336">
        <f t="shared" si="51"/>
        <v>0</v>
      </c>
      <c r="AN57" s="330">
        <f t="shared" si="40"/>
        <v>0</v>
      </c>
      <c r="AO57" s="437">
        <f t="shared" si="52"/>
        <v>0</v>
      </c>
      <c r="AP57" s="348" t="b">
        <f t="shared" si="53"/>
        <v>0</v>
      </c>
      <c r="AQ57" s="348">
        <f t="shared" si="21"/>
        <v>0</v>
      </c>
      <c r="AR57" s="348">
        <f t="shared" si="22"/>
        <v>0</v>
      </c>
      <c r="AS57" s="348">
        <f t="shared" si="41"/>
        <v>0</v>
      </c>
      <c r="AT57" s="348" t="str">
        <f t="shared" si="42"/>
        <v/>
      </c>
      <c r="AU57" s="348" t="str">
        <f t="shared" si="43"/>
        <v/>
      </c>
      <c r="AV57" s="348">
        <f t="shared" si="44"/>
        <v>0</v>
      </c>
      <c r="AW57" s="348">
        <f t="shared" si="23"/>
        <v>0</v>
      </c>
      <c r="AX57" s="348">
        <f t="shared" si="24"/>
        <v>0</v>
      </c>
      <c r="AY57" s="330">
        <f t="shared" si="25"/>
        <v>0</v>
      </c>
      <c r="AZ57" s="330">
        <f t="shared" si="26"/>
        <v>0</v>
      </c>
      <c r="BA57" s="330">
        <f t="shared" si="27"/>
        <v>0</v>
      </c>
      <c r="BB57" s="330">
        <f t="shared" si="28"/>
        <v>0</v>
      </c>
      <c r="BC57" s="330">
        <f t="shared" si="29"/>
        <v>0</v>
      </c>
      <c r="BD57" s="330">
        <f t="shared" si="30"/>
        <v>0</v>
      </c>
      <c r="BE57" s="330">
        <f t="shared" si="45"/>
        <v>0</v>
      </c>
      <c r="BF57" s="330">
        <f t="shared" si="46"/>
        <v>0</v>
      </c>
      <c r="BG57" s="330">
        <f t="shared" si="31"/>
        <v>0</v>
      </c>
      <c r="BH57" s="330" t="str">
        <f t="shared" si="32"/>
        <v/>
      </c>
      <c r="BI57" s="330" t="str">
        <f t="shared" si="47"/>
        <v/>
      </c>
      <c r="BJ57" s="330" t="str">
        <f t="shared" si="48"/>
        <v/>
      </c>
      <c r="BK57" s="330" t="str">
        <f t="shared" si="33"/>
        <v/>
      </c>
      <c r="BL57" s="330" t="str">
        <f t="shared" si="34"/>
        <v/>
      </c>
      <c r="BM57" s="330" t="str">
        <f t="shared" si="49"/>
        <v/>
      </c>
      <c r="BN57" s="330" t="str">
        <f t="shared" si="54"/>
        <v/>
      </c>
      <c r="BO57" s="330">
        <f t="shared" si="35"/>
        <v>0</v>
      </c>
      <c r="BP57" s="330">
        <f t="shared" si="36"/>
        <v>0</v>
      </c>
      <c r="BQ57" s="330">
        <f t="shared" si="37"/>
        <v>0</v>
      </c>
      <c r="BR57" s="330" t="str">
        <f t="shared" si="38"/>
        <v/>
      </c>
      <c r="BS57" s="432" t="str">
        <f t="shared" si="50"/>
        <v/>
      </c>
    </row>
    <row r="58" spans="1:71" ht="16.149999999999999" customHeight="1" thickBot="1">
      <c r="A58" s="174" t="s">
        <v>620</v>
      </c>
      <c r="B58" s="175" t="s">
        <v>748</v>
      </c>
      <c r="C58" s="175" t="s">
        <v>749</v>
      </c>
      <c r="D58" s="176" t="s">
        <v>621</v>
      </c>
      <c r="E58" s="280" t="s">
        <v>497</v>
      </c>
      <c r="F58" s="657"/>
      <c r="G58" s="691"/>
      <c r="H58" s="279" t="s">
        <v>933</v>
      </c>
      <c r="I58" s="519">
        <f>ABS($L$99)</f>
        <v>0</v>
      </c>
      <c r="J58" s="692" t="str">
        <f>IF($L58=0,"",IF($L58&gt;0,CHAR(233),CHAR(234)))</f>
        <v/>
      </c>
      <c r="L58" s="569">
        <f>$L$99</f>
        <v>0</v>
      </c>
      <c r="M58" s="276" t="s">
        <v>1251</v>
      </c>
      <c r="N58" s="189" t="s">
        <v>703</v>
      </c>
      <c r="O58" s="189"/>
      <c r="P58" s="18"/>
      <c r="Q58" s="18"/>
      <c r="R58" s="18"/>
      <c r="S58" s="364" t="s">
        <v>644</v>
      </c>
      <c r="T58" s="348" t="str">
        <f>IF(OR($F$25="",$G$25=""),"No",IF(MIN($U$40:$U$41)&gt;$B$14,"No",IF(MAX($U$40:$U$41)&lt;$B$14,"No","Yes")))</f>
        <v>No</v>
      </c>
      <c r="U58" s="348">
        <f>$B$14</f>
        <v>0</v>
      </c>
      <c r="V58" s="348">
        <f>IF(OR($B$25=0,$B$25=180,$B$25=360),0,IF($T$14&gt;$T$13,$G$22+((($T$14-$B$14)/ABS($M$17))/$M$19),(($T$13-$B$14)/ABS($M$17))/$M$19))</f>
        <v>0</v>
      </c>
      <c r="W58" s="348">
        <f t="shared" ref="W58:W63" si="57">IF(V58&lt;0,0,IF(V58&gt;$E$22,$E$22,V58))</f>
        <v>0</v>
      </c>
      <c r="X58" s="348">
        <f>IF($T$14&gt;$T$13,$U$14+(($V$58-$G$22)*$M$20),$U$13-($V$58*$M$20))</f>
        <v>0</v>
      </c>
      <c r="Y58" s="394">
        <f>$C$14</f>
        <v>0</v>
      </c>
      <c r="AI58" s="364">
        <v>13</v>
      </c>
      <c r="AJ58" s="330">
        <f t="shared" si="39"/>
        <v>0</v>
      </c>
      <c r="AK58" s="344" t="str">
        <f t="shared" si="20"/>
        <v>None</v>
      </c>
      <c r="AL58" s="330">
        <f t="shared" si="55"/>
        <v>0</v>
      </c>
      <c r="AM58" s="336">
        <f t="shared" si="51"/>
        <v>0</v>
      </c>
      <c r="AN58" s="330">
        <f t="shared" si="40"/>
        <v>0</v>
      </c>
      <c r="AO58" s="437">
        <f t="shared" si="52"/>
        <v>0</v>
      </c>
      <c r="AP58" s="348" t="b">
        <f t="shared" si="53"/>
        <v>0</v>
      </c>
      <c r="AQ58" s="348">
        <f t="shared" si="21"/>
        <v>0</v>
      </c>
      <c r="AR58" s="348">
        <f t="shared" si="22"/>
        <v>0</v>
      </c>
      <c r="AS58" s="348">
        <f t="shared" si="41"/>
        <v>0</v>
      </c>
      <c r="AT58" s="348" t="str">
        <f t="shared" si="42"/>
        <v/>
      </c>
      <c r="AU58" s="348" t="str">
        <f t="shared" si="43"/>
        <v/>
      </c>
      <c r="AV58" s="348">
        <f t="shared" si="44"/>
        <v>0</v>
      </c>
      <c r="AW58" s="348">
        <f t="shared" si="23"/>
        <v>0</v>
      </c>
      <c r="AX58" s="348">
        <f t="shared" si="24"/>
        <v>0</v>
      </c>
      <c r="AY58" s="330">
        <f t="shared" si="25"/>
        <v>0</v>
      </c>
      <c r="AZ58" s="330">
        <f t="shared" si="26"/>
        <v>0</v>
      </c>
      <c r="BA58" s="330">
        <f t="shared" si="27"/>
        <v>0</v>
      </c>
      <c r="BB58" s="330">
        <f t="shared" si="28"/>
        <v>0</v>
      </c>
      <c r="BC58" s="330">
        <f t="shared" si="29"/>
        <v>0</v>
      </c>
      <c r="BD58" s="330">
        <f t="shared" si="30"/>
        <v>0</v>
      </c>
      <c r="BE58" s="330">
        <f t="shared" si="45"/>
        <v>0</v>
      </c>
      <c r="BF58" s="330">
        <f t="shared" si="46"/>
        <v>0</v>
      </c>
      <c r="BG58" s="330">
        <f t="shared" si="31"/>
        <v>0</v>
      </c>
      <c r="BH58" s="330" t="str">
        <f t="shared" si="32"/>
        <v/>
      </c>
      <c r="BI58" s="330" t="str">
        <f t="shared" si="47"/>
        <v/>
      </c>
      <c r="BJ58" s="330" t="str">
        <f t="shared" si="48"/>
        <v/>
      </c>
      <c r="BK58" s="330" t="str">
        <f t="shared" si="33"/>
        <v/>
      </c>
      <c r="BL58" s="330" t="str">
        <f t="shared" si="34"/>
        <v/>
      </c>
      <c r="BM58" s="330" t="str">
        <f t="shared" si="49"/>
        <v/>
      </c>
      <c r="BN58" s="330" t="str">
        <f t="shared" si="54"/>
        <v/>
      </c>
      <c r="BO58" s="330">
        <f t="shared" si="35"/>
        <v>0</v>
      </c>
      <c r="BP58" s="330">
        <f t="shared" si="36"/>
        <v>0</v>
      </c>
      <c r="BQ58" s="330">
        <f t="shared" si="37"/>
        <v>0</v>
      </c>
      <c r="BR58" s="330" t="str">
        <f t="shared" si="38"/>
        <v/>
      </c>
      <c r="BS58" s="432" t="str">
        <f t="shared" si="50"/>
        <v/>
      </c>
    </row>
    <row r="59" spans="1:71" ht="16.149999999999999" customHeight="1" thickBot="1">
      <c r="A59" s="170" t="s">
        <v>622</v>
      </c>
      <c r="B59" s="459">
        <f>IF(AND($H$28="",$H$29=""),0,$AZ$43)</f>
        <v>0</v>
      </c>
      <c r="C59" s="460">
        <f>IF(AND($H$28="",$H$29=""),0,$BA$43)</f>
        <v>0</v>
      </c>
      <c r="D59" s="454">
        <f>B59+C59</f>
        <v>0</v>
      </c>
      <c r="E59" s="461">
        <f>IF(OR($D$28="",$E$28=""),0,($B$59*$D$28)+($C$59*$E$28))</f>
        <v>0</v>
      </c>
      <c r="F59" s="657"/>
      <c r="G59" s="690"/>
      <c r="H59" s="476" t="s">
        <v>779</v>
      </c>
      <c r="I59" s="520">
        <f>ABS($L$59)+ABS($M$59)</f>
        <v>0</v>
      </c>
      <c r="J59" s="692" t="str">
        <f>IF(($L59+M59)=0,"",IF(($L59+M59)&gt;0,CHAR(233),CHAR(234)))</f>
        <v/>
      </c>
      <c r="L59" s="792">
        <f>$L$86</f>
        <v>0</v>
      </c>
      <c r="M59" s="790">
        <f>$L$92</f>
        <v>0</v>
      </c>
      <c r="N59" s="404" t="s">
        <v>863</v>
      </c>
      <c r="P59" s="574"/>
      <c r="Q59" s="575"/>
      <c r="R59" s="18"/>
      <c r="S59" s="364" t="s">
        <v>642</v>
      </c>
      <c r="T59" s="348" t="str">
        <f>IF(OR($F$25="",$G$25=""),"No",IF(MIN($U$40:$U$41)&gt;$B$15,"No",IF(MAX($U$40:$U$41)&lt;$B$15,"No","Yes")))</f>
        <v>No</v>
      </c>
      <c r="U59" s="348">
        <f>$B$15</f>
        <v>0</v>
      </c>
      <c r="V59" s="336">
        <f>IF(OR($B$25=0,$B$25=180,$B$25=360),0,IF($T$14&gt;$T$13,$G$22+((($T$14-$B$15)/ABS($M$17))/$M$19),(($T$13-$B$15)/ABS($M$17))/$M$19))</f>
        <v>0</v>
      </c>
      <c r="W59" s="336">
        <f t="shared" si="57"/>
        <v>0</v>
      </c>
      <c r="X59" s="348">
        <f>IF($T$14&gt;$T$13,$U$14+(($V$59-$G$22)*$M$20),$U$13-($V$59*$M$20))</f>
        <v>0</v>
      </c>
      <c r="Y59" s="394">
        <f>$C$15</f>
        <v>0</v>
      </c>
      <c r="AI59" s="364">
        <v>14</v>
      </c>
      <c r="AJ59" s="330">
        <f t="shared" si="39"/>
        <v>0</v>
      </c>
      <c r="AK59" s="344" t="str">
        <f t="shared" si="20"/>
        <v>None</v>
      </c>
      <c r="AL59" s="330">
        <f t="shared" si="55"/>
        <v>0</v>
      </c>
      <c r="AM59" s="336">
        <f t="shared" si="51"/>
        <v>0</v>
      </c>
      <c r="AN59" s="330">
        <f t="shared" si="40"/>
        <v>0</v>
      </c>
      <c r="AO59" s="437">
        <f t="shared" si="52"/>
        <v>0</v>
      </c>
      <c r="AP59" s="348" t="b">
        <f t="shared" si="53"/>
        <v>0</v>
      </c>
      <c r="AQ59" s="348">
        <f t="shared" si="21"/>
        <v>0</v>
      </c>
      <c r="AR59" s="348">
        <f t="shared" si="22"/>
        <v>0</v>
      </c>
      <c r="AS59" s="348">
        <f t="shared" si="41"/>
        <v>0</v>
      </c>
      <c r="AT59" s="348" t="str">
        <f t="shared" si="42"/>
        <v/>
      </c>
      <c r="AU59" s="348" t="str">
        <f t="shared" si="43"/>
        <v/>
      </c>
      <c r="AV59" s="348">
        <f t="shared" si="44"/>
        <v>0</v>
      </c>
      <c r="AW59" s="348">
        <f t="shared" si="23"/>
        <v>0</v>
      </c>
      <c r="AX59" s="348">
        <f t="shared" si="24"/>
        <v>0</v>
      </c>
      <c r="AY59" s="330">
        <f t="shared" si="25"/>
        <v>0</v>
      </c>
      <c r="AZ59" s="330">
        <f t="shared" si="26"/>
        <v>0</v>
      </c>
      <c r="BA59" s="330">
        <f t="shared" si="27"/>
        <v>0</v>
      </c>
      <c r="BB59" s="330">
        <f t="shared" si="28"/>
        <v>0</v>
      </c>
      <c r="BC59" s="330">
        <f t="shared" si="29"/>
        <v>0</v>
      </c>
      <c r="BD59" s="330">
        <f t="shared" si="30"/>
        <v>0</v>
      </c>
      <c r="BE59" s="330">
        <f t="shared" si="45"/>
        <v>0</v>
      </c>
      <c r="BF59" s="330">
        <f t="shared" si="46"/>
        <v>0</v>
      </c>
      <c r="BG59" s="330">
        <f t="shared" si="31"/>
        <v>0</v>
      </c>
      <c r="BH59" s="330" t="str">
        <f t="shared" si="32"/>
        <v/>
      </c>
      <c r="BI59" s="330" t="str">
        <f t="shared" si="47"/>
        <v/>
      </c>
      <c r="BJ59" s="330" t="str">
        <f t="shared" si="48"/>
        <v/>
      </c>
      <c r="BK59" s="330" t="str">
        <f t="shared" si="33"/>
        <v/>
      </c>
      <c r="BL59" s="330" t="str">
        <f t="shared" si="34"/>
        <v/>
      </c>
      <c r="BM59" s="330" t="str">
        <f t="shared" si="49"/>
        <v/>
      </c>
      <c r="BN59" s="330" t="str">
        <f t="shared" si="54"/>
        <v/>
      </c>
      <c r="BO59" s="330">
        <f t="shared" si="35"/>
        <v>0</v>
      </c>
      <c r="BP59" s="330">
        <f t="shared" si="36"/>
        <v>0</v>
      </c>
      <c r="BQ59" s="330">
        <f t="shared" si="37"/>
        <v>0</v>
      </c>
      <c r="BR59" s="330" t="str">
        <f t="shared" si="38"/>
        <v/>
      </c>
      <c r="BS59" s="432" t="str">
        <f t="shared" si="50"/>
        <v/>
      </c>
    </row>
    <row r="60" spans="1:71" ht="15.75" thickTop="1" thickBot="1">
      <c r="A60" s="281" t="s">
        <v>18</v>
      </c>
      <c r="B60" s="458">
        <f>IF(AND($H$28="",$H$29=""),0,$BB$43)</f>
        <v>0</v>
      </c>
      <c r="C60" s="453">
        <f>IF(AND($H$28="",$H$29=""),0,$BC$43)</f>
        <v>0</v>
      </c>
      <c r="D60" s="455">
        <f>B60+C60</f>
        <v>0</v>
      </c>
      <c r="E60" s="457">
        <f>IF(OR($D$29="",$E$29=""),0,($B$60*$D$29)+($C$60*$E$29))</f>
        <v>0</v>
      </c>
      <c r="F60" s="657"/>
      <c r="G60" s="691"/>
      <c r="H60" s="515" t="s">
        <v>880</v>
      </c>
      <c r="I60" s="516">
        <f>ABS($L$60)</f>
        <v>0</v>
      </c>
      <c r="J60" s="692" t="str">
        <f t="shared" si="56"/>
        <v/>
      </c>
      <c r="K60" s="645" t="s">
        <v>1029</v>
      </c>
      <c r="L60" s="648">
        <f>$L$54+$L$55+$L$56+$L$57+$L$58+$L$59+$M$59</f>
        <v>0</v>
      </c>
      <c r="N60" s="189"/>
      <c r="O60" s="189"/>
      <c r="P60" s="572"/>
      <c r="Q60" s="575"/>
      <c r="R60" s="18"/>
      <c r="S60" s="364" t="s">
        <v>678</v>
      </c>
      <c r="T60" s="348" t="str">
        <f>IF(OR($F$25="",$G$25=""),"No",IF(AND(MAX($U$40:$U$41)&gt;$B$16,MIN($U$40:$U$41)&lt;$B$16),"Yes","No"))</f>
        <v>No</v>
      </c>
      <c r="U60" s="348">
        <f>$B$16</f>
        <v>0</v>
      </c>
      <c r="V60" s="336">
        <f>IF(OR($B$25=0,$B$25=180,$B$25=360),0,IF($T$14&gt;$T$13,$G$22+((($T$14-$B$16)/ABS($M$17))/$M$19),(($T$13-$B$16)/ABS($M$17))/$M$19))</f>
        <v>0</v>
      </c>
      <c r="W60" s="336">
        <f t="shared" si="57"/>
        <v>0</v>
      </c>
      <c r="X60" s="348">
        <f>IF($T$14&gt;$T$13,$U$14+(($V$60-$G$22)*$M$20),$U$13-($V$60*$M$20))</f>
        <v>0</v>
      </c>
      <c r="Y60" s="394">
        <f>$C$16</f>
        <v>0</v>
      </c>
      <c r="AI60" s="364">
        <v>15</v>
      </c>
      <c r="AJ60" s="330">
        <f t="shared" si="39"/>
        <v>0</v>
      </c>
      <c r="AK60" s="344" t="str">
        <f t="shared" si="20"/>
        <v>None</v>
      </c>
      <c r="AL60" s="330">
        <f t="shared" si="55"/>
        <v>0</v>
      </c>
      <c r="AM60" s="336">
        <f t="shared" si="51"/>
        <v>0</v>
      </c>
      <c r="AN60" s="330">
        <f t="shared" si="40"/>
        <v>0</v>
      </c>
      <c r="AO60" s="437">
        <f t="shared" si="52"/>
        <v>0</v>
      </c>
      <c r="AP60" s="348" t="b">
        <f t="shared" si="53"/>
        <v>0</v>
      </c>
      <c r="AQ60" s="348">
        <f t="shared" si="21"/>
        <v>0</v>
      </c>
      <c r="AR60" s="348">
        <f t="shared" si="22"/>
        <v>0</v>
      </c>
      <c r="AS60" s="348">
        <f t="shared" si="41"/>
        <v>0</v>
      </c>
      <c r="AT60" s="348" t="str">
        <f t="shared" si="42"/>
        <v/>
      </c>
      <c r="AU60" s="348" t="str">
        <f t="shared" si="43"/>
        <v/>
      </c>
      <c r="AV60" s="348">
        <f t="shared" si="44"/>
        <v>0</v>
      </c>
      <c r="AW60" s="348">
        <f t="shared" si="23"/>
        <v>0</v>
      </c>
      <c r="AX60" s="348">
        <f t="shared" si="24"/>
        <v>0</v>
      </c>
      <c r="AY60" s="330">
        <f t="shared" si="25"/>
        <v>0</v>
      </c>
      <c r="AZ60" s="330">
        <f t="shared" si="26"/>
        <v>0</v>
      </c>
      <c r="BA60" s="330">
        <f t="shared" si="27"/>
        <v>0</v>
      </c>
      <c r="BB60" s="330">
        <f t="shared" si="28"/>
        <v>0</v>
      </c>
      <c r="BC60" s="330">
        <f t="shared" si="29"/>
        <v>0</v>
      </c>
      <c r="BD60" s="330">
        <f t="shared" si="30"/>
        <v>0</v>
      </c>
      <c r="BE60" s="330">
        <f t="shared" si="45"/>
        <v>0</v>
      </c>
      <c r="BF60" s="330">
        <f t="shared" si="46"/>
        <v>0</v>
      </c>
      <c r="BG60" s="330">
        <f t="shared" si="31"/>
        <v>0</v>
      </c>
      <c r="BH60" s="330" t="str">
        <f t="shared" si="32"/>
        <v/>
      </c>
      <c r="BI60" s="330" t="str">
        <f t="shared" si="47"/>
        <v/>
      </c>
      <c r="BJ60" s="330" t="str">
        <f t="shared" si="48"/>
        <v/>
      </c>
      <c r="BK60" s="330" t="str">
        <f t="shared" si="33"/>
        <v/>
      </c>
      <c r="BL60" s="330" t="str">
        <f t="shared" si="34"/>
        <v/>
      </c>
      <c r="BM60" s="330" t="str">
        <f t="shared" si="49"/>
        <v/>
      </c>
      <c r="BN60" s="330" t="str">
        <f t="shared" si="54"/>
        <v/>
      </c>
      <c r="BO60" s="330">
        <f t="shared" si="35"/>
        <v>0</v>
      </c>
      <c r="BP60" s="330">
        <f t="shared" si="36"/>
        <v>0</v>
      </c>
      <c r="BQ60" s="330">
        <f t="shared" si="37"/>
        <v>0</v>
      </c>
      <c r="BR60" s="330" t="str">
        <f t="shared" si="38"/>
        <v/>
      </c>
      <c r="BS60" s="432" t="str">
        <f t="shared" si="50"/>
        <v/>
      </c>
    </row>
    <row r="61" spans="1:71" ht="16.899999999999999" customHeight="1" thickTop="1" thickBot="1">
      <c r="A61" s="177" t="s">
        <v>457</v>
      </c>
      <c r="B61" s="618">
        <f>$B$59+$B$60</f>
        <v>0</v>
      </c>
      <c r="C61" s="284">
        <f>$C$59+$C$60</f>
        <v>0</v>
      </c>
      <c r="D61" s="284">
        <f>$D$59+$D$60</f>
        <v>0</v>
      </c>
      <c r="E61" s="456">
        <f>$E$59+$E$60</f>
        <v>0</v>
      </c>
      <c r="F61" s="657"/>
      <c r="G61" s="657"/>
      <c r="H61" s="468" t="s">
        <v>872</v>
      </c>
      <c r="I61" s="510">
        <f>IF(OR($E$22="",$F$22="",$F$25="",$G$25=""),0,IF($L$58&gt;=0,($I$56+$I$57+$I$59)/($I$54+$I$55+$I$58),($I$56+$I$57+$I$58+$I$59)/($I$54+$I$55)))</f>
        <v>0</v>
      </c>
      <c r="J61" s="818">
        <f>$I$61-$L$61</f>
        <v>-1.5</v>
      </c>
      <c r="K61" s="646" t="str">
        <f>IF(AND($F$25="",$G$25=""),"",IF($I$61&gt;=$L$61,"Structure is Vertically Stable",IF(AND($I$61&lt;$L$61,$L$58&gt;=0),$L$61*($L$54+$L$55+$L$58)-(-$L$56-$L$57-$L$59-$M$59),IF(AND($I$61&lt;$L$61,$L$58&lt;0),$L$61*($L$54+$L$55)-(-$L$56-$L$57-$L$59-$M$59-$L$58),""))))</f>
        <v/>
      </c>
      <c r="L61" s="525">
        <f>'2-Constants'!$C$5</f>
        <v>1.5</v>
      </c>
      <c r="N61" s="10" t="s">
        <v>471</v>
      </c>
      <c r="P61" s="18"/>
      <c r="Q61" s="18"/>
      <c r="R61" s="18"/>
      <c r="S61" s="364" t="s">
        <v>679</v>
      </c>
      <c r="T61" s="348" t="str">
        <f>IF(OR($F$25="",$G$25=""),"No",IF(AND(MAX($U$40:$U$41)&gt;$B$16,MIN($U$40:$U$41)&lt;$B$16),"Yes","No"))</f>
        <v>No</v>
      </c>
      <c r="U61" s="348">
        <f>$B$16</f>
        <v>0</v>
      </c>
      <c r="V61" s="336">
        <f>IF(OR($B$25=0,$B$25=180,$B$25=360),0,IF($T$14&lt;$T$13,$G$22+((($B$16-$T$14)/ABS($M$17))/$M$19),(($B$16-$T$13)/ABS($M$17))/$M$19))</f>
        <v>0</v>
      </c>
      <c r="W61" s="336">
        <f t="shared" si="57"/>
        <v>0</v>
      </c>
      <c r="X61" s="348">
        <f>IF($T$14&lt;$T$13,$U$14+(($V$61-$G$22)*$M$20),$U$13-($V$61*$M$20))</f>
        <v>0</v>
      </c>
      <c r="Y61" s="394">
        <f>$C$16</f>
        <v>0</v>
      </c>
      <c r="AI61" s="364">
        <v>16</v>
      </c>
      <c r="AJ61" s="330">
        <f t="shared" si="39"/>
        <v>0</v>
      </c>
      <c r="AK61" s="344" t="str">
        <f t="shared" si="20"/>
        <v>None</v>
      </c>
      <c r="AL61" s="330">
        <f t="shared" si="55"/>
        <v>0</v>
      </c>
      <c r="AM61" s="336">
        <f t="shared" si="51"/>
        <v>0</v>
      </c>
      <c r="AN61" s="330">
        <f t="shared" si="40"/>
        <v>0</v>
      </c>
      <c r="AO61" s="437">
        <f t="shared" si="52"/>
        <v>0</v>
      </c>
      <c r="AP61" s="348" t="b">
        <f t="shared" si="53"/>
        <v>0</v>
      </c>
      <c r="AQ61" s="348">
        <f t="shared" si="21"/>
        <v>0</v>
      </c>
      <c r="AR61" s="348">
        <f t="shared" si="22"/>
        <v>0</v>
      </c>
      <c r="AS61" s="348">
        <f t="shared" si="41"/>
        <v>0</v>
      </c>
      <c r="AT61" s="348" t="str">
        <f t="shared" si="42"/>
        <v/>
      </c>
      <c r="AU61" s="348" t="str">
        <f t="shared" si="43"/>
        <v/>
      </c>
      <c r="AV61" s="348">
        <f t="shared" si="44"/>
        <v>0</v>
      </c>
      <c r="AW61" s="348">
        <f t="shared" si="23"/>
        <v>0</v>
      </c>
      <c r="AX61" s="348">
        <f t="shared" si="24"/>
        <v>0</v>
      </c>
      <c r="AY61" s="330">
        <f t="shared" si="25"/>
        <v>0</v>
      </c>
      <c r="AZ61" s="330">
        <f t="shared" si="26"/>
        <v>0</v>
      </c>
      <c r="BA61" s="330">
        <f t="shared" si="27"/>
        <v>0</v>
      </c>
      <c r="BB61" s="330">
        <f t="shared" si="28"/>
        <v>0</v>
      </c>
      <c r="BC61" s="330">
        <f t="shared" si="29"/>
        <v>0</v>
      </c>
      <c r="BD61" s="330">
        <f t="shared" si="30"/>
        <v>0</v>
      </c>
      <c r="BE61" s="330">
        <f t="shared" si="45"/>
        <v>0</v>
      </c>
      <c r="BF61" s="330">
        <f t="shared" si="46"/>
        <v>0</v>
      </c>
      <c r="BG61" s="330">
        <f t="shared" si="31"/>
        <v>0</v>
      </c>
      <c r="BH61" s="330" t="str">
        <f t="shared" si="32"/>
        <v/>
      </c>
      <c r="BI61" s="330" t="str">
        <f t="shared" si="47"/>
        <v/>
      </c>
      <c r="BJ61" s="330" t="str">
        <f t="shared" si="48"/>
        <v/>
      </c>
      <c r="BK61" s="330" t="str">
        <f t="shared" si="33"/>
        <v/>
      </c>
      <c r="BL61" s="330" t="str">
        <f t="shared" si="34"/>
        <v/>
      </c>
      <c r="BM61" s="330" t="str">
        <f t="shared" si="49"/>
        <v/>
      </c>
      <c r="BN61" s="330" t="str">
        <f t="shared" si="54"/>
        <v/>
      </c>
      <c r="BO61" s="330">
        <f t="shared" si="35"/>
        <v>0</v>
      </c>
      <c r="BP61" s="330">
        <f t="shared" si="36"/>
        <v>0</v>
      </c>
      <c r="BQ61" s="330">
        <f t="shared" si="37"/>
        <v>0</v>
      </c>
      <c r="BR61" s="330" t="str">
        <f t="shared" si="38"/>
        <v/>
      </c>
      <c r="BS61" s="432" t="str">
        <f t="shared" si="50"/>
        <v/>
      </c>
    </row>
    <row r="62" spans="1:71" ht="15" thickBot="1">
      <c r="A62" s="657"/>
      <c r="B62" s="657"/>
      <c r="C62" s="657"/>
      <c r="D62" s="657"/>
      <c r="E62" s="657"/>
      <c r="F62" s="657"/>
      <c r="G62" s="657"/>
      <c r="H62" s="657"/>
      <c r="I62" s="657"/>
      <c r="J62" s="657"/>
      <c r="K62" s="801" t="str">
        <f>IF($K$61&lt;&gt;"Structure is Vertically Stable","",IF($K$61="Structure is Vertically Stable",IF($L$58&gt;=0,($I$56+$I$57+$I$59)-(($I$58+$I$54+$I$55)*$L$61),($I$56+$I$57+$I$58+$I$59)-(($I$54+$I$55)*$L$61))))</f>
        <v/>
      </c>
      <c r="L62" s="443"/>
      <c r="N62" s="140" t="s">
        <v>467</v>
      </c>
      <c r="O62" s="132" t="s">
        <v>862</v>
      </c>
      <c r="P62" s="18"/>
      <c r="Q62" s="18"/>
      <c r="R62" s="18"/>
      <c r="S62" s="364" t="s">
        <v>643</v>
      </c>
      <c r="T62" s="348" t="str">
        <f>IF(OR($F$25="",$G$25=""),"No",IF(MAX($U$40:$U$41)&lt;$B$17,"No",IF(MIN($U$40:$U$41)&gt;$B$17,"No","Yes")))</f>
        <v>No</v>
      </c>
      <c r="U62" s="348">
        <f>$B$17</f>
        <v>0</v>
      </c>
      <c r="V62" s="336">
        <f>IF(OR($B$25=0,$B$25=180,$B$25=360),0,IF($T$14&lt;$T$13,$G$22+((($B$17-$T$14)/ABS($M$17))/$M$19),(($B$17-$T$13)/ABS($M$17))/$M$19))</f>
        <v>0</v>
      </c>
      <c r="W62" s="336">
        <f t="shared" si="57"/>
        <v>0</v>
      </c>
      <c r="X62" s="348">
        <f>IF($T$14&lt;$T$13,$U$14+(($V$62-$G$22)*$M$20),$U$13-($V$62*$M$20))</f>
        <v>0</v>
      </c>
      <c r="Y62" s="394">
        <f>$C$17</f>
        <v>0</v>
      </c>
      <c r="AI62" s="364">
        <v>17</v>
      </c>
      <c r="AJ62" s="330">
        <f t="shared" si="39"/>
        <v>0</v>
      </c>
      <c r="AK62" s="344" t="str">
        <f t="shared" si="20"/>
        <v>None</v>
      </c>
      <c r="AL62" s="330">
        <f t="shared" si="55"/>
        <v>0</v>
      </c>
      <c r="AM62" s="336">
        <f t="shared" si="51"/>
        <v>0</v>
      </c>
      <c r="AN62" s="330">
        <f t="shared" si="40"/>
        <v>0</v>
      </c>
      <c r="AO62" s="437">
        <f t="shared" si="52"/>
        <v>0</v>
      </c>
      <c r="AP62" s="348" t="b">
        <f t="shared" si="53"/>
        <v>0</v>
      </c>
      <c r="AQ62" s="348">
        <f t="shared" si="21"/>
        <v>0</v>
      </c>
      <c r="AR62" s="348">
        <f t="shared" si="22"/>
        <v>0</v>
      </c>
      <c r="AS62" s="348">
        <f t="shared" si="41"/>
        <v>0</v>
      </c>
      <c r="AT62" s="348" t="str">
        <f t="shared" si="42"/>
        <v/>
      </c>
      <c r="AU62" s="348" t="str">
        <f t="shared" si="43"/>
        <v/>
      </c>
      <c r="AV62" s="348">
        <f t="shared" si="44"/>
        <v>0</v>
      </c>
      <c r="AW62" s="348">
        <f t="shared" si="23"/>
        <v>0</v>
      </c>
      <c r="AX62" s="348">
        <f t="shared" si="24"/>
        <v>0</v>
      </c>
      <c r="AY62" s="330">
        <f t="shared" si="25"/>
        <v>0</v>
      </c>
      <c r="AZ62" s="330">
        <f t="shared" si="26"/>
        <v>0</v>
      </c>
      <c r="BA62" s="330">
        <f t="shared" si="27"/>
        <v>0</v>
      </c>
      <c r="BB62" s="330">
        <f t="shared" si="28"/>
        <v>0</v>
      </c>
      <c r="BC62" s="330">
        <f t="shared" si="29"/>
        <v>0</v>
      </c>
      <c r="BD62" s="330">
        <f t="shared" si="30"/>
        <v>0</v>
      </c>
      <c r="BE62" s="330">
        <f t="shared" si="45"/>
        <v>0</v>
      </c>
      <c r="BF62" s="330">
        <f t="shared" si="46"/>
        <v>0</v>
      </c>
      <c r="BG62" s="330">
        <f t="shared" si="31"/>
        <v>0</v>
      </c>
      <c r="BH62" s="330" t="str">
        <f t="shared" si="32"/>
        <v/>
      </c>
      <c r="BI62" s="330" t="str">
        <f t="shared" si="47"/>
        <v/>
      </c>
      <c r="BJ62" s="330" t="str">
        <f t="shared" si="48"/>
        <v/>
      </c>
      <c r="BK62" s="330" t="str">
        <f t="shared" si="33"/>
        <v/>
      </c>
      <c r="BL62" s="330" t="str">
        <f t="shared" si="34"/>
        <v/>
      </c>
      <c r="BM62" s="330" t="str">
        <f t="shared" si="49"/>
        <v/>
      </c>
      <c r="BN62" s="330" t="str">
        <f t="shared" si="54"/>
        <v/>
      </c>
      <c r="BO62" s="330">
        <f t="shared" si="35"/>
        <v>0</v>
      </c>
      <c r="BP62" s="330">
        <f t="shared" si="36"/>
        <v>0</v>
      </c>
      <c r="BQ62" s="330">
        <f t="shared" si="37"/>
        <v>0</v>
      </c>
      <c r="BR62" s="330" t="str">
        <f t="shared" si="38"/>
        <v/>
      </c>
      <c r="BS62" s="432" t="str">
        <f t="shared" si="50"/>
        <v/>
      </c>
    </row>
    <row r="63" spans="1:71" ht="18.75" thickBot="1">
      <c r="A63" s="968" t="s">
        <v>1</v>
      </c>
      <c r="B63" s="968"/>
      <c r="C63" s="968"/>
      <c r="D63" s="968"/>
      <c r="E63" s="968"/>
      <c r="F63" s="968"/>
      <c r="G63" s="968"/>
      <c r="H63" s="968"/>
      <c r="I63" s="968"/>
      <c r="J63" s="968"/>
      <c r="N63" s="267" t="str">
        <f>IF(OR($O$54="",$O$54="use CD stem"),"",IF(OR($B$25&lt;-180,$B$25&gt;360),"Error",IF($B$25&gt;180,360-$B$25,IF($B$25&lt;0,-$B$25,$B$25))))</f>
        <v/>
      </c>
      <c r="O63" s="266" t="str">
        <f>IF(OR($O$54="",$O$54="use CD stem"),"",IF($B$25&lt;22.5,(($B$25/22.5)*($O$67-$O$66)+$O$66),IF($B$25&lt;45,((($B$25-$N$67)/22.5)*($O$68-$O$67)+$O$67),IF($B$25&lt;67.5,((($B$25-$N$68)/22.5)*($O$69-$O$68)+$O$68),IF($B$25&lt;90,((($B$25-$N$69)/22.5)*($O$70-$O$69)+$O$69),IF($B$25&lt;112.5,((($B$25-$N$70)/22.5)*($O$71-$O$70)+$O$70),IF($B$25&lt;135,((($B$25-$N$71)/22.5)*($O$72-$O$71)+$O$71),IF($B$25&lt;157.5,((($B$25-$N$72)/22.5)*($O$73-$O$72)+$O$72),IF($B$25&lt;=180,((($B$25-$N$74)/22.5)*($O$74-$O$73)+$O$74),$O$74)))))))))</f>
        <v/>
      </c>
      <c r="P63" s="18"/>
      <c r="Q63" s="18"/>
      <c r="R63" s="18"/>
      <c r="S63" s="365" t="s">
        <v>645</v>
      </c>
      <c r="T63" s="355" t="str">
        <f>IF(OR($F$25="",$G$25=""),"No",IF(MAX($U$40:$U$41)&lt;$B$18,"No",IF(MIN($U$40:$U$41)&gt;$B$18,"No","Yes")))</f>
        <v>No</v>
      </c>
      <c r="U63" s="355">
        <f>$B$18</f>
        <v>0</v>
      </c>
      <c r="V63" s="351">
        <f>IF(OR($B$25=0,$B$25=180,$B$25=360),0,IF($T$14&lt;$T$13,$G$22+((($B$18-$T$14)/ABS($M$17))/$M$19),(($B$18-$T$13)/ABS($M$17))/$M$19))</f>
        <v>0</v>
      </c>
      <c r="W63" s="351">
        <f t="shared" si="57"/>
        <v>0</v>
      </c>
      <c r="X63" s="355">
        <f>IF($T$14&lt;$T$13,$U$14+(($V$63-$G$22)*$M$20),$U$13-($V$63*$M$20))</f>
        <v>0</v>
      </c>
      <c r="Y63" s="403">
        <f>$C$18</f>
        <v>0</v>
      </c>
      <c r="AI63" s="364">
        <v>18</v>
      </c>
      <c r="AJ63" s="330">
        <f t="shared" si="39"/>
        <v>0</v>
      </c>
      <c r="AK63" s="344" t="str">
        <f t="shared" si="20"/>
        <v>None</v>
      </c>
      <c r="AL63" s="330">
        <f t="shared" si="55"/>
        <v>0</v>
      </c>
      <c r="AM63" s="336">
        <f t="shared" si="51"/>
        <v>0</v>
      </c>
      <c r="AN63" s="330">
        <f t="shared" si="40"/>
        <v>0</v>
      </c>
      <c r="AO63" s="437">
        <f t="shared" si="52"/>
        <v>0</v>
      </c>
      <c r="AP63" s="348" t="b">
        <f t="shared" si="53"/>
        <v>0</v>
      </c>
      <c r="AQ63" s="348">
        <f t="shared" si="21"/>
        <v>0</v>
      </c>
      <c r="AR63" s="348">
        <f t="shared" si="22"/>
        <v>0</v>
      </c>
      <c r="AS63" s="348">
        <f t="shared" si="41"/>
        <v>0</v>
      </c>
      <c r="AT63" s="348" t="str">
        <f t="shared" si="42"/>
        <v/>
      </c>
      <c r="AU63" s="348" t="str">
        <f t="shared" si="43"/>
        <v/>
      </c>
      <c r="AV63" s="348">
        <f t="shared" si="44"/>
        <v>0</v>
      </c>
      <c r="AW63" s="348">
        <f t="shared" si="23"/>
        <v>0</v>
      </c>
      <c r="AX63" s="348">
        <f t="shared" si="24"/>
        <v>0</v>
      </c>
      <c r="AY63" s="330">
        <f t="shared" si="25"/>
        <v>0</v>
      </c>
      <c r="AZ63" s="330">
        <f t="shared" si="26"/>
        <v>0</v>
      </c>
      <c r="BA63" s="330">
        <f t="shared" si="27"/>
        <v>0</v>
      </c>
      <c r="BB63" s="330">
        <f t="shared" si="28"/>
        <v>0</v>
      </c>
      <c r="BC63" s="330">
        <f t="shared" si="29"/>
        <v>0</v>
      </c>
      <c r="BD63" s="330">
        <f t="shared" si="30"/>
        <v>0</v>
      </c>
      <c r="BE63" s="330">
        <f t="shared" si="45"/>
        <v>0</v>
      </c>
      <c r="BF63" s="330">
        <f t="shared" si="46"/>
        <v>0</v>
      </c>
      <c r="BG63" s="330">
        <f t="shared" si="31"/>
        <v>0</v>
      </c>
      <c r="BH63" s="330" t="str">
        <f t="shared" si="32"/>
        <v/>
      </c>
      <c r="BI63" s="330" t="str">
        <f t="shared" si="47"/>
        <v/>
      </c>
      <c r="BJ63" s="330" t="str">
        <f t="shared" si="48"/>
        <v/>
      </c>
      <c r="BK63" s="330" t="str">
        <f t="shared" si="33"/>
        <v/>
      </c>
      <c r="BL63" s="330" t="str">
        <f t="shared" si="34"/>
        <v/>
      </c>
      <c r="BM63" s="330" t="str">
        <f t="shared" si="49"/>
        <v/>
      </c>
      <c r="BN63" s="330" t="str">
        <f t="shared" si="54"/>
        <v/>
      </c>
      <c r="BO63" s="330">
        <f t="shared" si="35"/>
        <v>0</v>
      </c>
      <c r="BP63" s="330">
        <f t="shared" si="36"/>
        <v>0</v>
      </c>
      <c r="BQ63" s="330">
        <f t="shared" si="37"/>
        <v>0</v>
      </c>
      <c r="BR63" s="330" t="str">
        <f t="shared" si="38"/>
        <v/>
      </c>
      <c r="BS63" s="432" t="str">
        <f t="shared" si="50"/>
        <v/>
      </c>
    </row>
    <row r="64" spans="1:71" ht="14.25" thickBot="1">
      <c r="A64" s="971" t="s">
        <v>461</v>
      </c>
      <c r="B64" s="972"/>
      <c r="C64" s="972"/>
      <c r="D64" s="972"/>
      <c r="E64" s="972"/>
      <c r="F64" s="972"/>
      <c r="G64" s="657"/>
      <c r="H64" s="657"/>
      <c r="I64" s="657"/>
      <c r="J64" s="657"/>
      <c r="P64" s="50"/>
      <c r="Q64" s="50"/>
      <c r="R64" s="18"/>
      <c r="AI64" s="364">
        <v>19</v>
      </c>
      <c r="AJ64" s="330">
        <f t="shared" si="39"/>
        <v>0</v>
      </c>
      <c r="AK64" s="344" t="str">
        <f t="shared" si="20"/>
        <v>None</v>
      </c>
      <c r="AL64" s="330">
        <f t="shared" si="55"/>
        <v>0</v>
      </c>
      <c r="AM64" s="336">
        <f t="shared" si="51"/>
        <v>0</v>
      </c>
      <c r="AN64" s="330">
        <f t="shared" si="40"/>
        <v>0</v>
      </c>
      <c r="AO64" s="437">
        <f t="shared" si="52"/>
        <v>0</v>
      </c>
      <c r="AP64" s="348" t="b">
        <f t="shared" si="53"/>
        <v>0</v>
      </c>
      <c r="AQ64" s="348">
        <f t="shared" si="21"/>
        <v>0</v>
      </c>
      <c r="AR64" s="348">
        <f t="shared" si="22"/>
        <v>0</v>
      </c>
      <c r="AS64" s="348">
        <f t="shared" si="41"/>
        <v>0</v>
      </c>
      <c r="AT64" s="348" t="str">
        <f t="shared" si="42"/>
        <v/>
      </c>
      <c r="AU64" s="348" t="str">
        <f t="shared" si="43"/>
        <v/>
      </c>
      <c r="AV64" s="348">
        <f t="shared" si="44"/>
        <v>0</v>
      </c>
      <c r="AW64" s="348">
        <f t="shared" si="23"/>
        <v>0</v>
      </c>
      <c r="AX64" s="348">
        <f t="shared" si="24"/>
        <v>0</v>
      </c>
      <c r="AY64" s="330">
        <f t="shared" si="25"/>
        <v>0</v>
      </c>
      <c r="AZ64" s="330">
        <f t="shared" si="26"/>
        <v>0</v>
      </c>
      <c r="BA64" s="330">
        <f t="shared" si="27"/>
        <v>0</v>
      </c>
      <c r="BB64" s="330">
        <f t="shared" si="28"/>
        <v>0</v>
      </c>
      <c r="BC64" s="330">
        <f t="shared" si="29"/>
        <v>0</v>
      </c>
      <c r="BD64" s="330">
        <f t="shared" si="30"/>
        <v>0</v>
      </c>
      <c r="BE64" s="330">
        <f t="shared" si="45"/>
        <v>0</v>
      </c>
      <c r="BF64" s="330">
        <f t="shared" si="46"/>
        <v>0</v>
      </c>
      <c r="BG64" s="330">
        <f t="shared" si="31"/>
        <v>0</v>
      </c>
      <c r="BH64" s="330" t="str">
        <f t="shared" si="32"/>
        <v/>
      </c>
      <c r="BI64" s="330" t="str">
        <f t="shared" si="47"/>
        <v/>
      </c>
      <c r="BJ64" s="330" t="str">
        <f t="shared" si="48"/>
        <v/>
      </c>
      <c r="BK64" s="330" t="str">
        <f t="shared" si="33"/>
        <v/>
      </c>
      <c r="BL64" s="330" t="str">
        <f t="shared" si="34"/>
        <v/>
      </c>
      <c r="BM64" s="330" t="str">
        <f t="shared" si="49"/>
        <v/>
      </c>
      <c r="BN64" s="330" t="str">
        <f t="shared" si="54"/>
        <v/>
      </c>
      <c r="BO64" s="330">
        <f t="shared" si="35"/>
        <v>0</v>
      </c>
      <c r="BP64" s="330">
        <f t="shared" si="36"/>
        <v>0</v>
      </c>
      <c r="BQ64" s="330">
        <f t="shared" si="37"/>
        <v>0</v>
      </c>
      <c r="BR64" s="330" t="str">
        <f t="shared" si="38"/>
        <v/>
      </c>
      <c r="BS64" s="432" t="str">
        <f t="shared" si="50"/>
        <v/>
      </c>
    </row>
    <row r="65" spans="1:71" ht="15" thickBot="1">
      <c r="A65" s="179" t="s">
        <v>859</v>
      </c>
      <c r="B65" s="182" t="s">
        <v>498</v>
      </c>
      <c r="C65" s="178" t="s">
        <v>860</v>
      </c>
      <c r="D65" s="178" t="s">
        <v>499</v>
      </c>
      <c r="E65" s="178" t="s">
        <v>500</v>
      </c>
      <c r="F65" s="180" t="s">
        <v>501</v>
      </c>
      <c r="G65" s="657"/>
      <c r="H65" s="999" t="s">
        <v>459</v>
      </c>
      <c r="I65" s="1000"/>
      <c r="J65" s="1000"/>
      <c r="K65" s="474"/>
      <c r="L65" s="276" t="s">
        <v>762</v>
      </c>
      <c r="N65" s="140" t="s">
        <v>331</v>
      </c>
      <c r="O65" s="132" t="s">
        <v>862</v>
      </c>
      <c r="P65" s="50"/>
      <c r="Q65" s="18"/>
      <c r="R65" s="50"/>
      <c r="S65" s="398"/>
      <c r="T65" s="414"/>
      <c r="U65" s="414"/>
      <c r="V65" s="986" t="s">
        <v>715</v>
      </c>
      <c r="W65" s="987"/>
      <c r="X65" s="988" t="s">
        <v>683</v>
      </c>
      <c r="Y65" s="988" t="s">
        <v>686</v>
      </c>
      <c r="Z65" s="988" t="s">
        <v>671</v>
      </c>
      <c r="AA65" s="988" t="s">
        <v>687</v>
      </c>
      <c r="AB65" s="411"/>
      <c r="AI65" s="364">
        <v>20</v>
      </c>
      <c r="AJ65" s="330">
        <f t="shared" si="39"/>
        <v>0</v>
      </c>
      <c r="AK65" s="344" t="str">
        <f t="shared" si="20"/>
        <v>None</v>
      </c>
      <c r="AL65" s="330">
        <f t="shared" si="55"/>
        <v>0</v>
      </c>
      <c r="AM65" s="336">
        <f t="shared" si="51"/>
        <v>0</v>
      </c>
      <c r="AN65" s="330">
        <f t="shared" si="40"/>
        <v>0</v>
      </c>
      <c r="AO65" s="437">
        <f t="shared" si="52"/>
        <v>0</v>
      </c>
      <c r="AP65" s="348" t="b">
        <f t="shared" si="53"/>
        <v>0</v>
      </c>
      <c r="AQ65" s="348">
        <f t="shared" si="21"/>
        <v>0</v>
      </c>
      <c r="AR65" s="348">
        <f t="shared" si="22"/>
        <v>0</v>
      </c>
      <c r="AS65" s="348">
        <f t="shared" si="41"/>
        <v>0</v>
      </c>
      <c r="AT65" s="348" t="str">
        <f t="shared" si="42"/>
        <v/>
      </c>
      <c r="AU65" s="348" t="str">
        <f t="shared" si="43"/>
        <v/>
      </c>
      <c r="AV65" s="348">
        <f t="shared" si="44"/>
        <v>0</v>
      </c>
      <c r="AW65" s="348">
        <f t="shared" si="23"/>
        <v>0</v>
      </c>
      <c r="AX65" s="348">
        <f t="shared" si="24"/>
        <v>0</v>
      </c>
      <c r="AY65" s="330">
        <f t="shared" si="25"/>
        <v>0</v>
      </c>
      <c r="AZ65" s="330">
        <f t="shared" si="26"/>
        <v>0</v>
      </c>
      <c r="BA65" s="330">
        <f t="shared" si="27"/>
        <v>0</v>
      </c>
      <c r="BB65" s="330">
        <f t="shared" si="28"/>
        <v>0</v>
      </c>
      <c r="BC65" s="330">
        <f t="shared" si="29"/>
        <v>0</v>
      </c>
      <c r="BD65" s="330">
        <f t="shared" si="30"/>
        <v>0</v>
      </c>
      <c r="BE65" s="330">
        <f t="shared" si="45"/>
        <v>0</v>
      </c>
      <c r="BF65" s="330">
        <f t="shared" si="46"/>
        <v>0</v>
      </c>
      <c r="BG65" s="330">
        <f t="shared" si="31"/>
        <v>0</v>
      </c>
      <c r="BH65" s="330" t="str">
        <f t="shared" si="32"/>
        <v/>
      </c>
      <c r="BI65" s="330" t="str">
        <f t="shared" si="47"/>
        <v/>
      </c>
      <c r="BJ65" s="330" t="str">
        <f t="shared" si="48"/>
        <v/>
      </c>
      <c r="BK65" s="330" t="str">
        <f t="shared" si="33"/>
        <v/>
      </c>
      <c r="BL65" s="330" t="str">
        <f t="shared" si="34"/>
        <v/>
      </c>
      <c r="BM65" s="330" t="str">
        <f t="shared" si="49"/>
        <v/>
      </c>
      <c r="BN65" s="330" t="str">
        <f t="shared" si="54"/>
        <v/>
      </c>
      <c r="BO65" s="330">
        <f t="shared" si="35"/>
        <v>0</v>
      </c>
      <c r="BP65" s="330">
        <f t="shared" si="36"/>
        <v>0</v>
      </c>
      <c r="BQ65" s="330">
        <f t="shared" si="37"/>
        <v>0</v>
      </c>
      <c r="BR65" s="330" t="str">
        <f t="shared" si="38"/>
        <v/>
      </c>
      <c r="BS65" s="432" t="str">
        <f t="shared" si="50"/>
        <v/>
      </c>
    </row>
    <row r="66" spans="1:71" ht="16.149999999999999" customHeight="1" thickBot="1">
      <c r="A66" s="144">
        <f>IF(OR($A$6="",$F$6=""),0,$J$25/(VLOOKUP($A$6,SiteInfo,7,0)))</f>
        <v>0</v>
      </c>
      <c r="B66" s="502">
        <f>IF($A$6="",0,$J$6/(($F$22*g)^0.5))</f>
        <v>0</v>
      </c>
      <c r="C66" s="145">
        <f>IF($O$54="",0,IF($O$54="use CD stem",$O$57,$O$63))</f>
        <v>0</v>
      </c>
      <c r="D66" s="145">
        <f>IF(OR($BM$43="",$B$25=""),0,IF($BN$43&gt;0.43,0.43,$BN$43))</f>
        <v>0</v>
      </c>
      <c r="E66" s="145">
        <f>IF(OR($F$22="",$B$25=""),0,0.997*($C$66+$D$66)*((1-$A$66)^-2.06))</f>
        <v>0</v>
      </c>
      <c r="F66" s="475">
        <f>IF(OR($E$66="",$J$25=""),0,$E$66*$J$25*SWWater*($J$6^2)/(2*g))</f>
        <v>0</v>
      </c>
      <c r="G66" s="657"/>
      <c r="H66" s="278" t="s">
        <v>501</v>
      </c>
      <c r="I66" s="521">
        <f>IF(AND($F$66=0,$I$71&gt;0),0.4999,$F$66)</f>
        <v>0</v>
      </c>
      <c r="J66" s="693" t="str">
        <f>IF($L$66=0,"",IF($L66&gt;0,CHAR(232),CHAR(231)))</f>
        <v/>
      </c>
      <c r="K66" s="421" t="str">
        <f>IF(AND($F$66=0,$I$71&gt;0),"NOTE - Tool has assumed the drag force = 0.49 lbf for FS calcs","")</f>
        <v/>
      </c>
      <c r="L66" s="647">
        <f>$F$66</f>
        <v>0</v>
      </c>
      <c r="N66" s="143">
        <v>0</v>
      </c>
      <c r="O66" s="130">
        <v>1.2</v>
      </c>
      <c r="P66" s="50"/>
      <c r="Q66" s="50"/>
      <c r="R66" s="50"/>
      <c r="S66" s="317"/>
      <c r="T66" s="357" t="s">
        <v>681</v>
      </c>
      <c r="U66" s="357" t="s">
        <v>680</v>
      </c>
      <c r="V66" s="357" t="s">
        <v>716</v>
      </c>
      <c r="W66" s="357" t="s">
        <v>717</v>
      </c>
      <c r="X66" s="989"/>
      <c r="Y66" s="989"/>
      <c r="Z66" s="989"/>
      <c r="AA66" s="989"/>
      <c r="AB66" s="358" t="s">
        <v>897</v>
      </c>
      <c r="AI66" s="364">
        <v>21</v>
      </c>
      <c r="AJ66" s="330">
        <f t="shared" si="39"/>
        <v>0</v>
      </c>
      <c r="AK66" s="344" t="str">
        <f t="shared" si="20"/>
        <v>None</v>
      </c>
      <c r="AL66" s="330">
        <f t="shared" si="55"/>
        <v>0</v>
      </c>
      <c r="AM66" s="336">
        <f t="shared" si="51"/>
        <v>0</v>
      </c>
      <c r="AN66" s="330">
        <f t="shared" si="40"/>
        <v>0</v>
      </c>
      <c r="AO66" s="437">
        <f t="shared" si="52"/>
        <v>0</v>
      </c>
      <c r="AP66" s="348" t="b">
        <f t="shared" si="53"/>
        <v>0</v>
      </c>
      <c r="AQ66" s="348">
        <f t="shared" si="21"/>
        <v>0</v>
      </c>
      <c r="AR66" s="348">
        <f t="shared" si="22"/>
        <v>0</v>
      </c>
      <c r="AS66" s="348">
        <f t="shared" si="41"/>
        <v>0</v>
      </c>
      <c r="AT66" s="348" t="str">
        <f t="shared" si="42"/>
        <v/>
      </c>
      <c r="AU66" s="348" t="str">
        <f t="shared" si="43"/>
        <v/>
      </c>
      <c r="AV66" s="348">
        <f t="shared" si="44"/>
        <v>0</v>
      </c>
      <c r="AW66" s="348">
        <f t="shared" si="23"/>
        <v>0</v>
      </c>
      <c r="AX66" s="348">
        <f t="shared" si="24"/>
        <v>0</v>
      </c>
      <c r="AY66" s="330">
        <f t="shared" si="25"/>
        <v>0</v>
      </c>
      <c r="AZ66" s="330">
        <f t="shared" si="26"/>
        <v>0</v>
      </c>
      <c r="BA66" s="330">
        <f t="shared" si="27"/>
        <v>0</v>
      </c>
      <c r="BB66" s="330">
        <f t="shared" si="28"/>
        <v>0</v>
      </c>
      <c r="BC66" s="330">
        <f t="shared" si="29"/>
        <v>0</v>
      </c>
      <c r="BD66" s="330">
        <f t="shared" si="30"/>
        <v>0</v>
      </c>
      <c r="BE66" s="330">
        <f t="shared" si="45"/>
        <v>0</v>
      </c>
      <c r="BF66" s="330">
        <f t="shared" si="46"/>
        <v>0</v>
      </c>
      <c r="BG66" s="330">
        <f t="shared" si="31"/>
        <v>0</v>
      </c>
      <c r="BH66" s="330" t="str">
        <f t="shared" si="32"/>
        <v/>
      </c>
      <c r="BI66" s="330" t="str">
        <f t="shared" si="47"/>
        <v/>
      </c>
      <c r="BJ66" s="330" t="str">
        <f t="shared" si="48"/>
        <v/>
      </c>
      <c r="BK66" s="330" t="str">
        <f t="shared" si="33"/>
        <v/>
      </c>
      <c r="BL66" s="330" t="str">
        <f t="shared" si="34"/>
        <v/>
      </c>
      <c r="BM66" s="330" t="str">
        <f t="shared" si="49"/>
        <v/>
      </c>
      <c r="BN66" s="330" t="str">
        <f t="shared" si="54"/>
        <v/>
      </c>
      <c r="BO66" s="330">
        <f t="shared" si="35"/>
        <v>0</v>
      </c>
      <c r="BP66" s="330">
        <f t="shared" si="36"/>
        <v>0</v>
      </c>
      <c r="BQ66" s="330">
        <f t="shared" si="37"/>
        <v>0</v>
      </c>
      <c r="BR66" s="330" t="str">
        <f t="shared" si="38"/>
        <v/>
      </c>
      <c r="BS66" s="432" t="str">
        <f t="shared" si="50"/>
        <v/>
      </c>
    </row>
    <row r="67" spans="1:71" ht="14.25">
      <c r="A67" s="657"/>
      <c r="B67" s="657"/>
      <c r="C67" s="657"/>
      <c r="D67" s="657"/>
      <c r="E67" s="657"/>
      <c r="F67" s="657"/>
      <c r="G67" s="657"/>
      <c r="H67" s="279" t="s">
        <v>765</v>
      </c>
      <c r="I67" s="522">
        <f>$C$72</f>
        <v>0</v>
      </c>
      <c r="J67" s="693" t="str">
        <f>IF($L$67=0,"",IF($L67&gt;=0,CHAR(232),CHAR(231)))</f>
        <v/>
      </c>
      <c r="K67" s="1009" t="str">
        <f>IF(OR($M$59=0,$M$70=0),"","NOTE -- Mechanical soil anchors and deadman boulders provide equal resistance to vertical and horizontal forces.  The model first applies these anchor forces to resist the vertical forces, and then applies the balance to resist the horizontal forces.")</f>
        <v/>
      </c>
      <c r="L67" s="648">
        <f>-$C$72</f>
        <v>0</v>
      </c>
      <c r="N67" s="141">
        <v>22.5</v>
      </c>
      <c r="O67" s="126">
        <v>1.25</v>
      </c>
      <c r="Q67" s="50"/>
      <c r="R67" s="50"/>
      <c r="S67" s="364" t="s">
        <v>668</v>
      </c>
      <c r="T67" s="348" t="e">
        <f>($B$14-$B$13)/ABS($M$17)/ABS($M$19)</f>
        <v>#DIV/0!</v>
      </c>
      <c r="U67" s="348">
        <f>IF(MAX($U$40:$U$41)&lt;=$B$14,$E$22,IF($T$58="No",0,$E$22-$W$58))</f>
        <v>0</v>
      </c>
      <c r="V67" s="348">
        <f>IF($U$67=0,0,IF(OR($B$25=0,$B$25=180,$B$25=360),$U$40,$U$58+(($X$58-$C$14)/($AB$31-$AA$40))))</f>
        <v>0</v>
      </c>
      <c r="W67" s="348">
        <f>IF($U$67=0,0,IF(OR($B$25=0,$B$25=180,$B$25=360),(($U$40-$B$13)*$AB$31)+$C$13,$X$58+(($V$67-$U$58)*$AA$40)))</f>
        <v>0</v>
      </c>
      <c r="X67" s="348">
        <f>IF($U$67=0,0,IF(OR($B$25=0,$B$25=180,$B$25=360),$E$22-ABS(($X$41-$W$67)/$M$20),IF(AND($U$40&lt;=$U$41,$X$40&gt;=$Y$40),ABS(($X$40-$W$67)/($AA$40*$M$17*$M$19)),IF(AND($U$40&lt;=$U$41,$X$40&lt;$Y$40),ABS($E$22-(ABS(($X$40-$W$67)/($AA$40*$M$17*$M$19)))),IF(AND($U$40&gt;$U$41,$X$41&gt;=$Y$41),ABS(($X$41-$W$67)/($AA$40*$M$17*$M$19)),IF(AND($U$40&gt;=$U$41,$X$41&lt;$Y$41),ABS($E$22-(ABS(($X$40-$W$67)/($AA$40*$M$17*$M$19))))))))))</f>
        <v>0</v>
      </c>
      <c r="Y67" s="348" t="str">
        <f>IF(AND($U$67=0,$W$67=0),"No",IF(AND($V$67&lt;=$B$14,$V$67&gt;=$B$13,$V$67&gt;=MIN($U$40:$U$41),$V$67&lt;=MAX($U$40:$U$41),$W$67&lt;$C$13,$X$67&lt;=$E$22),"Yes","No"))</f>
        <v>No</v>
      </c>
      <c r="Z67" s="344" t="str">
        <f>IF($U$67=0,"No",IF($Y$67="Yes","Partial",IF(AND($U$67&lt;$E$22,$X$41&lt;$Y$41,$Y$67="No",$Y$68="No",$Y$69="No",$Y$70="No",$Y$71="No",$Y$72="No"),"Yes",IF(AND($Y$67="No",$X$58&gt;$Y$58),"No","Yes"))))</f>
        <v>No</v>
      </c>
      <c r="AA67" s="344" t="str">
        <f>IF($Z$67="Yes","None",IF(AND($Z$67="No",$U$67=0),"None",IF($Z$67="No","All",IF(AND($X$41&gt;=$Y$41,$U$41&lt;=$U$40),"Left","Right"))))</f>
        <v>None</v>
      </c>
      <c r="AB67" s="394">
        <f>IF($U$67=0,0,IF($Z$67="No",0,IF($Z$67="Yes",$U$67,IF(OR($AA$67="Left",$U$67=$E$22),$U$67-(ABS(($U$41-$V$67)/($M$17*$M$19))),$U$67-(ABS(($V$67-$B$14)/($M$17*$M$19)))))))</f>
        <v>0</v>
      </c>
      <c r="AI67" s="364">
        <v>22</v>
      </c>
      <c r="AJ67" s="330">
        <f t="shared" si="39"/>
        <v>0</v>
      </c>
      <c r="AK67" s="344" t="str">
        <f t="shared" si="20"/>
        <v>None</v>
      </c>
      <c r="AL67" s="330">
        <f t="shared" si="55"/>
        <v>0</v>
      </c>
      <c r="AM67" s="336">
        <f t="shared" si="51"/>
        <v>0</v>
      </c>
      <c r="AN67" s="330">
        <f t="shared" si="40"/>
        <v>0</v>
      </c>
      <c r="AO67" s="437">
        <f t="shared" si="52"/>
        <v>0</v>
      </c>
      <c r="AP67" s="348" t="b">
        <f t="shared" si="53"/>
        <v>0</v>
      </c>
      <c r="AQ67" s="348">
        <f t="shared" si="21"/>
        <v>0</v>
      </c>
      <c r="AR67" s="348">
        <f t="shared" si="22"/>
        <v>0</v>
      </c>
      <c r="AS67" s="348">
        <f t="shared" si="41"/>
        <v>0</v>
      </c>
      <c r="AT67" s="348" t="str">
        <f t="shared" si="42"/>
        <v/>
      </c>
      <c r="AU67" s="348" t="str">
        <f t="shared" si="43"/>
        <v/>
      </c>
      <c r="AV67" s="348">
        <f t="shared" si="44"/>
        <v>0</v>
      </c>
      <c r="AW67" s="348">
        <f t="shared" si="23"/>
        <v>0</v>
      </c>
      <c r="AX67" s="348">
        <f t="shared" si="24"/>
        <v>0</v>
      </c>
      <c r="AY67" s="330">
        <f t="shared" si="25"/>
        <v>0</v>
      </c>
      <c r="AZ67" s="330">
        <f t="shared" si="26"/>
        <v>0</v>
      </c>
      <c r="BA67" s="330">
        <f t="shared" si="27"/>
        <v>0</v>
      </c>
      <c r="BB67" s="330">
        <f t="shared" si="28"/>
        <v>0</v>
      </c>
      <c r="BC67" s="330">
        <f t="shared" si="29"/>
        <v>0</v>
      </c>
      <c r="BD67" s="330">
        <f t="shared" si="30"/>
        <v>0</v>
      </c>
      <c r="BE67" s="330">
        <f t="shared" si="45"/>
        <v>0</v>
      </c>
      <c r="BF67" s="330">
        <f t="shared" si="46"/>
        <v>0</v>
      </c>
      <c r="BG67" s="330">
        <f t="shared" si="31"/>
        <v>0</v>
      </c>
      <c r="BH67" s="330" t="str">
        <f t="shared" si="32"/>
        <v/>
      </c>
      <c r="BI67" s="330" t="str">
        <f t="shared" si="47"/>
        <v/>
      </c>
      <c r="BJ67" s="330" t="str">
        <f t="shared" si="48"/>
        <v/>
      </c>
      <c r="BK67" s="330" t="str">
        <f t="shared" si="33"/>
        <v/>
      </c>
      <c r="BL67" s="330" t="str">
        <f t="shared" si="34"/>
        <v/>
      </c>
      <c r="BM67" s="330" t="str">
        <f t="shared" si="49"/>
        <v/>
      </c>
      <c r="BN67" s="330" t="str">
        <f t="shared" si="54"/>
        <v/>
      </c>
      <c r="BO67" s="330">
        <f t="shared" si="35"/>
        <v>0</v>
      </c>
      <c r="BP67" s="330">
        <f t="shared" si="36"/>
        <v>0</v>
      </c>
      <c r="BQ67" s="330">
        <f t="shared" si="37"/>
        <v>0</v>
      </c>
      <c r="BR67" s="330" t="str">
        <f t="shared" si="38"/>
        <v/>
      </c>
      <c r="BS67" s="432" t="str">
        <f t="shared" si="50"/>
        <v/>
      </c>
    </row>
    <row r="68" spans="1:71" ht="16.149999999999999" customHeight="1" thickBot="1">
      <c r="A68" s="971" t="s">
        <v>764</v>
      </c>
      <c r="B68" s="972"/>
      <c r="C68" s="972"/>
      <c r="D68" s="971" t="s">
        <v>763</v>
      </c>
      <c r="E68" s="1021"/>
      <c r="F68" s="1021"/>
      <c r="G68" s="657"/>
      <c r="H68" s="469" t="s">
        <v>777</v>
      </c>
      <c r="I68" s="523">
        <f>$F$72</f>
        <v>0</v>
      </c>
      <c r="J68" s="693" t="str">
        <f>IF($L$68=0,"",IF($L68&gt;=0,CHAR(232),CHAR(231)))</f>
        <v/>
      </c>
      <c r="K68" s="1010"/>
      <c r="L68" s="648">
        <f>-$F$72</f>
        <v>0</v>
      </c>
      <c r="N68" s="141">
        <v>45</v>
      </c>
      <c r="O68" s="126">
        <v>1.1200000000000001</v>
      </c>
      <c r="P68" s="799"/>
      <c r="Q68" s="18"/>
      <c r="R68" s="18"/>
      <c r="S68" s="364" t="s">
        <v>667</v>
      </c>
      <c r="T68" s="348" t="e">
        <f>($B$15-$B$14)/ABS($M$17)/ABS($M$19)</f>
        <v>#DIV/0!</v>
      </c>
      <c r="U68" s="348">
        <f>IF(AND(MIN($U$40:$U$41)&gt;=$B$14,MAX($U$40:$U$41)&lt;=$B$15),$E$22,IF(AND($T$59="No",$T$58="No"),0,$E$22-$W$59-$U$67))</f>
        <v>0</v>
      </c>
      <c r="V68" s="348">
        <f>IF($U$68=0,0,IF(OR($B$25=0,$B$25=180,$B$25=360),$U$40,$U$59+(($C$15-$X$59)/($AA$40-$AB$32))))</f>
        <v>0</v>
      </c>
      <c r="W68" s="348">
        <f>IF($U$68=0,0,IF(OR($B$25=0,$B$25=180,$B$25=360),(($U$40-$B$14)*$AB$32)+$C$14,$X$59+(($V$68-$U$59)*$AA$40)))</f>
        <v>0</v>
      </c>
      <c r="X68" s="348">
        <f>IF($U$68=0,0,IF(OR($B$25=0,$B$25=180,$B$25=360),$E$22-ABS(($X$41-$W$68)/$M$20),IF(AND($U$40&lt;=$U$41,$X$40&gt;=$Y$40),ABS(($X$40-$W$68)/($AA$40*$M$17*$M$19)),IF(AND($U$40&lt;=$U$41,$X$40&lt;$Y$40),ABS($E$22-(ABS(($X$40-$W$68)/($AA$40*$M$17*$M$19)))),IF(AND($U$40&gt;$U$41,$X$41&gt;=$Y$41),ABS(($X$41-$W$68)/($AA$40*$M$17*$M$19)),IF(AND($U$40&gt;=$U$41,$X$41&lt;$Y$41),ABS($E$22-(ABS(($X$40-$W$68)/($AA$40*$M$17*$M$19))))))))))</f>
        <v>0</v>
      </c>
      <c r="Y68" s="348" t="str">
        <f>IF(AND($U$68=0,$W$68=0),"No",IF(AND($V$68&lt;=$B$15,$V$68&gt;=$B$14,$V$68&gt;=MIN($U$40:$U$41),$V$68&lt;=MAX($U$40:$U$41),$W$68&lt;$C$14,$X$68&lt;=$E$22),"Yes","No"))</f>
        <v>No</v>
      </c>
      <c r="Z68" s="344" t="str">
        <f>IF($U$68=0,"No",IF($Y$68="Yes","Partial",IF(AND($U$68&lt;$E$22,$X$41&lt;$Y$41,$Y$67="No",$Y$68="No",$Y$69="No",$Y$70="No",$Y$71="No",$Y$72="No"),"Yes",IF(AND($Y$68="No",$X$59&gt;$Y$59),"No","Yes"))))</f>
        <v>No</v>
      </c>
      <c r="AA68" s="344" t="str">
        <f>IF($Z$68="Yes","None",IF(AND($Z$68="No",$U$68=0),"None",IF($Z$68="No","All",IF(AND($X$41&gt;=$Y$41,$U$41&lt;=$U$40,$AA$67&lt;&gt;"Left"),"Left","Right"))))</f>
        <v>None</v>
      </c>
      <c r="AB68" s="394">
        <f>IF($U$68=0,0,IF($Z$68="No",0,IF($Z$68="Yes",$U$68,IF(OR($U$68=$E$22,AND($AA$68="Left",MIN($U$40:$U$41)&gt;=$B$14,MAX($U$40:$U$41)&gt;=$B$15)),$U$68-(ABS(($U$41-$V$68)/($M$17*$M$19))),IF($AA$68="Left",$U$68-(ABS(($B$14-$V$68)/($M$17*$M$19))),IF(MAX($U$40:$U$41)&gt;=$B$15,$U$68-(ABS(($V$68-$B$15)/($M$17*$M$19))),ABS(($V$68-$B$14)/($M$17*$M$19))))))))</f>
        <v>0</v>
      </c>
      <c r="AI68" s="364">
        <v>23</v>
      </c>
      <c r="AJ68" s="330">
        <f t="shared" si="39"/>
        <v>0</v>
      </c>
      <c r="AK68" s="344" t="str">
        <f t="shared" si="20"/>
        <v>None</v>
      </c>
      <c r="AL68" s="330">
        <f t="shared" si="55"/>
        <v>0</v>
      </c>
      <c r="AM68" s="336">
        <f t="shared" si="51"/>
        <v>0</v>
      </c>
      <c r="AN68" s="330">
        <f t="shared" si="40"/>
        <v>0</v>
      </c>
      <c r="AO68" s="437">
        <f t="shared" si="52"/>
        <v>0</v>
      </c>
      <c r="AP68" s="348" t="b">
        <f t="shared" si="53"/>
        <v>0</v>
      </c>
      <c r="AQ68" s="348">
        <f t="shared" si="21"/>
        <v>0</v>
      </c>
      <c r="AR68" s="348">
        <f t="shared" si="22"/>
        <v>0</v>
      </c>
      <c r="AS68" s="348">
        <f t="shared" si="41"/>
        <v>0</v>
      </c>
      <c r="AT68" s="348" t="str">
        <f t="shared" si="42"/>
        <v/>
      </c>
      <c r="AU68" s="348" t="str">
        <f t="shared" si="43"/>
        <v/>
      </c>
      <c r="AV68" s="348">
        <f t="shared" si="44"/>
        <v>0</v>
      </c>
      <c r="AW68" s="348">
        <f t="shared" si="23"/>
        <v>0</v>
      </c>
      <c r="AX68" s="348">
        <f t="shared" si="24"/>
        <v>0</v>
      </c>
      <c r="AY68" s="330">
        <f t="shared" si="25"/>
        <v>0</v>
      </c>
      <c r="AZ68" s="330">
        <f t="shared" si="26"/>
        <v>0</v>
      </c>
      <c r="BA68" s="330">
        <f t="shared" si="27"/>
        <v>0</v>
      </c>
      <c r="BB68" s="330">
        <f t="shared" si="28"/>
        <v>0</v>
      </c>
      <c r="BC68" s="330">
        <f t="shared" si="29"/>
        <v>0</v>
      </c>
      <c r="BD68" s="330">
        <f t="shared" si="30"/>
        <v>0</v>
      </c>
      <c r="BE68" s="330">
        <f t="shared" si="45"/>
        <v>0</v>
      </c>
      <c r="BF68" s="330">
        <f t="shared" si="46"/>
        <v>0</v>
      </c>
      <c r="BG68" s="330">
        <f t="shared" si="31"/>
        <v>0</v>
      </c>
      <c r="BH68" s="330" t="str">
        <f t="shared" si="32"/>
        <v/>
      </c>
      <c r="BI68" s="330" t="str">
        <f t="shared" si="47"/>
        <v/>
      </c>
      <c r="BJ68" s="330" t="str">
        <f t="shared" si="48"/>
        <v/>
      </c>
      <c r="BK68" s="330" t="str">
        <f t="shared" si="33"/>
        <v/>
      </c>
      <c r="BL68" s="330" t="str">
        <f t="shared" si="34"/>
        <v/>
      </c>
      <c r="BM68" s="330" t="str">
        <f t="shared" si="49"/>
        <v/>
      </c>
      <c r="BN68" s="330" t="str">
        <f t="shared" si="54"/>
        <v/>
      </c>
      <c r="BO68" s="330">
        <f t="shared" si="35"/>
        <v>0</v>
      </c>
      <c r="BP68" s="330">
        <f t="shared" si="36"/>
        <v>0</v>
      </c>
      <c r="BQ68" s="330">
        <f t="shared" si="37"/>
        <v>0</v>
      </c>
      <c r="BR68" s="330" t="str">
        <f t="shared" si="38"/>
        <v/>
      </c>
      <c r="BS68" s="432" t="str">
        <f t="shared" si="50"/>
        <v/>
      </c>
    </row>
    <row r="69" spans="1:71" ht="15" thickBot="1">
      <c r="A69" s="174" t="s">
        <v>620</v>
      </c>
      <c r="B69" s="305" t="s">
        <v>960</v>
      </c>
      <c r="C69" s="473" t="s">
        <v>765</v>
      </c>
      <c r="D69" s="263" t="s">
        <v>868</v>
      </c>
      <c r="E69" s="165" t="s">
        <v>778</v>
      </c>
      <c r="F69" s="473" t="s">
        <v>777</v>
      </c>
      <c r="G69" s="657"/>
      <c r="H69" s="279" t="s">
        <v>934</v>
      </c>
      <c r="I69" s="519">
        <f>ABS($M$99)</f>
        <v>0</v>
      </c>
      <c r="J69" s="693" t="str">
        <f>IF($L$69=0,"",IF($L69&gt;=0,CHAR(232),CHAR(231)))</f>
        <v/>
      </c>
      <c r="K69" s="1010"/>
      <c r="L69" s="569">
        <f>$M$99</f>
        <v>0</v>
      </c>
      <c r="M69" s="276" t="s">
        <v>1251</v>
      </c>
      <c r="N69" s="141">
        <v>67.5</v>
      </c>
      <c r="O69" s="126">
        <v>1.22</v>
      </c>
      <c r="Q69" s="50"/>
      <c r="R69" s="50"/>
      <c r="S69" s="364" t="s">
        <v>693</v>
      </c>
      <c r="T69" s="348" t="e">
        <f>($B$16-$B$15)/ABS($M$17)/ABS($M$19)</f>
        <v>#DIV/0!</v>
      </c>
      <c r="U69" s="348">
        <f>IF(AND(MIN($U$40:$U$41)&gt;=$B$15,MAX($U$40:$U$41)&lt;=$B$16),$E$22,IF(AND($T$60="No",$T$59="No"),0,IF(AND($T$59="Yes",$T$60="No"),$E$22-$U$68-$U$67,IF(AND($T$59="Yes",$T$60="Yes",$T$62="No"),$E$22-$U$70-$U$68-$U$67,IF(AND($T$59="Yes",$T$60="Yes",$T$62="Yes"),$E$22-$U$72-$U$71-$U$70-$U$68-$U$67,$E$22-$U$72-$U$71-$U$70)))))</f>
        <v>0</v>
      </c>
      <c r="V69" s="348">
        <f>IF($U$69=0,0,IF(OR($B$25=0,$B$25=180,$B$25=360),$U$40,$U$60+(($C$16-$X$60)/($AA$40-$AB$33))))</f>
        <v>0</v>
      </c>
      <c r="W69" s="348">
        <f>IF($U$69=0,0,IF(OR($B$25=0,$B$25=180,$B$25=360),(($U$40-$B$15)*$AB$33)+$C$15,$X$60+(($V$69-$U$60)*$AA$40)))</f>
        <v>0</v>
      </c>
      <c r="X69" s="348">
        <f>IF($U$69=0,0,IF(OR($B$25=0,$B$25=180,$B$25=360),$E$22-ABS(($X$41-$W$69)/$M$20),IF(AND($U$40&lt;=$U$41,$X$40&gt;=$Y$40),ABS(($X$40-$W$69)/($AA$40*$M$17*$M$19)),IF(AND($U$40&lt;=$U$41,$X$40&lt;$Y$40),ABS($E$22-(ABS(($X$40-$W$69)/($AA$40*$M$17*$M$19)))),IF(AND($U$40&gt;$U$41,$X$41&gt;=$Y$41),ABS(($X$41-$W$69)/($AA$40*$M$17*$M$19)),IF(AND($U$40&gt;=$U$41,$X$41&lt;$Y$41),ABS($E$22-(ABS(($X$40-$W$69)/($AA$40*$M$17*$M$19))))))))))</f>
        <v>0</v>
      </c>
      <c r="Y69" s="348" t="str">
        <f>IF(AND($U$69=0,$W$69=0),"No",IF(AND($V$69&lt;=$B$16,$V$69&gt;=$B$15,$V$69&gt;=MIN($U$40:$U$41),$V$69&lt;=MAX($U$40:$U$41),$W$69&lt;$C$15,$X$69&lt;=$E$22),"Yes","No"))</f>
        <v>No</v>
      </c>
      <c r="Z69" s="344" t="str">
        <f>IF($U$69=0,"No",IF($Y$69="Yes","Partial",IF(AND($U$69&lt;$E$22,$X$41&lt;$Y$41,$Y$67="No",$Y$68="No",$Y$69="No",$Y$70="No",$Y$71="No",$Y$72="No"),"Yes",IF(AND($Y$69="No",$X$60&gt;$Y$60),"No","Yes"))))</f>
        <v>No</v>
      </c>
      <c r="AA69" s="344" t="str">
        <f>IF($Z$69="Yes","None",IF(AND($Z$69="No",$U$69=0),"None",IF($Z$69="No","All",IF(AND($X$41&gt;=$Y$41,$U$41&lt;=$U$40,$AA$68&lt;&gt;"Left"),"Left","Right"))))</f>
        <v>None</v>
      </c>
      <c r="AB69" s="394">
        <f>IF($U$69=0,0,IF($Z$69="No",0,IF($Z$69="Yes",$U$69,IF(OR($U$69=$E$22,AND($AA$69="Left",MIN($U$40:$U$41)&gt;=$B$15,MAX($U$40:$U$41)&gt;=$B$16)),$U$69-(ABS(($U$41-$V$69)/($M$17*$M$19))),IF($AA$69="Left",$U$69-(ABS(($B$15-$V$69)/($M$17*$M$19))),IF(MAX($U$40:$U$41)&gt;=$B$16,$U$69-(ABS(($V$69-$B$16)/($M$17*$M$19))),ABS(($V$69-$B$15)/($M$17*$M$19))))))))</f>
        <v>0</v>
      </c>
      <c r="AI69" s="364">
        <v>24</v>
      </c>
      <c r="AJ69" s="330">
        <f t="shared" si="39"/>
        <v>0</v>
      </c>
      <c r="AK69" s="344" t="str">
        <f t="shared" si="20"/>
        <v>None</v>
      </c>
      <c r="AL69" s="330">
        <f t="shared" si="55"/>
        <v>0</v>
      </c>
      <c r="AM69" s="336">
        <f t="shared" si="51"/>
        <v>0</v>
      </c>
      <c r="AN69" s="330">
        <f t="shared" si="40"/>
        <v>0</v>
      </c>
      <c r="AO69" s="437">
        <f t="shared" si="52"/>
        <v>0</v>
      </c>
      <c r="AP69" s="348" t="b">
        <f t="shared" si="53"/>
        <v>0</v>
      </c>
      <c r="AQ69" s="348">
        <f t="shared" si="21"/>
        <v>0</v>
      </c>
      <c r="AR69" s="348">
        <f t="shared" si="22"/>
        <v>0</v>
      </c>
      <c r="AS69" s="348">
        <f t="shared" si="41"/>
        <v>0</v>
      </c>
      <c r="AT69" s="348" t="str">
        <f t="shared" si="42"/>
        <v/>
      </c>
      <c r="AU69" s="348" t="str">
        <f t="shared" si="43"/>
        <v/>
      </c>
      <c r="AV69" s="348">
        <f t="shared" si="44"/>
        <v>0</v>
      </c>
      <c r="AW69" s="348">
        <f t="shared" si="23"/>
        <v>0</v>
      </c>
      <c r="AX69" s="348">
        <f t="shared" si="24"/>
        <v>0</v>
      </c>
      <c r="AY69" s="330">
        <f t="shared" si="25"/>
        <v>0</v>
      </c>
      <c r="AZ69" s="330">
        <f t="shared" si="26"/>
        <v>0</v>
      </c>
      <c r="BA69" s="330">
        <f t="shared" si="27"/>
        <v>0</v>
      </c>
      <c r="BB69" s="330">
        <f t="shared" si="28"/>
        <v>0</v>
      </c>
      <c r="BC69" s="330">
        <f t="shared" si="29"/>
        <v>0</v>
      </c>
      <c r="BD69" s="330">
        <f t="shared" si="30"/>
        <v>0</v>
      </c>
      <c r="BE69" s="330">
        <f t="shared" si="45"/>
        <v>0</v>
      </c>
      <c r="BF69" s="330">
        <f t="shared" si="46"/>
        <v>0</v>
      </c>
      <c r="BG69" s="330">
        <f t="shared" si="31"/>
        <v>0</v>
      </c>
      <c r="BH69" s="330" t="str">
        <f t="shared" si="32"/>
        <v/>
      </c>
      <c r="BI69" s="330" t="str">
        <f t="shared" si="47"/>
        <v/>
      </c>
      <c r="BJ69" s="330" t="str">
        <f t="shared" si="48"/>
        <v/>
      </c>
      <c r="BK69" s="330" t="str">
        <f t="shared" si="33"/>
        <v/>
      </c>
      <c r="BL69" s="330" t="str">
        <f t="shared" si="34"/>
        <v/>
      </c>
      <c r="BM69" s="330" t="str">
        <f t="shared" si="49"/>
        <v/>
      </c>
      <c r="BN69" s="330" t="str">
        <f t="shared" si="54"/>
        <v/>
      </c>
      <c r="BO69" s="330">
        <f t="shared" si="35"/>
        <v>0</v>
      </c>
      <c r="BP69" s="330">
        <f t="shared" si="36"/>
        <v>0</v>
      </c>
      <c r="BQ69" s="330">
        <f t="shared" si="37"/>
        <v>0</v>
      </c>
      <c r="BR69" s="330" t="str">
        <f t="shared" si="38"/>
        <v/>
      </c>
      <c r="BS69" s="432" t="str">
        <f t="shared" si="50"/>
        <v/>
      </c>
    </row>
    <row r="70" spans="1:71" ht="15" thickBot="1">
      <c r="A70" s="506" t="s">
        <v>622</v>
      </c>
      <c r="B70" s="507">
        <f>IF(OR($A$6="",$F$6="",$F$25=""),0,TAN((45+($F$28/2))*PI()/180)^2)</f>
        <v>0</v>
      </c>
      <c r="C70" s="508">
        <f>IF($E$61=0,0,0.5*$B$70*$E$59)</f>
        <v>0</v>
      </c>
      <c r="D70" s="509">
        <f>IF($F$28="",0,IF($U$15&lt;$AF$47,$BP$43+2,$BP$43))</f>
        <v>0</v>
      </c>
      <c r="E70" s="509">
        <f>IF($F$28="",0,TAN($F$28*PI()/180))</f>
        <v>0</v>
      </c>
      <c r="F70" s="508">
        <f>IF(OR($L$60&gt;=0,$D$70=0),0,$I$60*$E$70*($D$70/$D$72))</f>
        <v>0</v>
      </c>
      <c r="G70" s="677"/>
      <c r="H70" s="476" t="s">
        <v>780</v>
      </c>
      <c r="I70" s="524">
        <f>ABS($L$70)+ABS($M$70)</f>
        <v>0</v>
      </c>
      <c r="J70" s="693" t="str">
        <f>IF(($L$70+M70)=0,"",IF(($L$70+M70)&gt;=0,CHAR(232),CHAR(231)))</f>
        <v/>
      </c>
      <c r="K70" s="1010"/>
      <c r="L70" s="792">
        <f>$M$86</f>
        <v>0</v>
      </c>
      <c r="M70" s="796">
        <f>$M$92</f>
        <v>0</v>
      </c>
      <c r="N70" s="125">
        <v>90</v>
      </c>
      <c r="O70" s="126">
        <v>0.97</v>
      </c>
      <c r="R70" s="50"/>
      <c r="S70" s="364" t="s">
        <v>692</v>
      </c>
      <c r="T70" s="348" t="e">
        <f>($B$17-$B$16)/ABS($M$17)/ABS($M$19)</f>
        <v>#DIV/0!</v>
      </c>
      <c r="U70" s="348">
        <f>IF(AND(MIN($U$40:$U$41)&gt;=$B$16,MAX($U$40:$U$41)&lt;=$B$17),$E$22,IF(AND($T$61="No",$T$62="No"),0,IF(AND($T$62="Yes",$T$61="No"),$E$22-$U$71-$U$72,IF(AND($T$62="Yes",$T$61="Yes"),$E$22-$W$61-$U$71-$U$72,$E$22-$W$61))))</f>
        <v>0</v>
      </c>
      <c r="V70" s="348">
        <f>IF($U$70=0,0,IF(OR($B$25=0,$B$25=180,$B$25=360),$U$40,$U$61+(($X$61-$C$16)/($AB$34-$AA$40))))</f>
        <v>0</v>
      </c>
      <c r="W70" s="348">
        <f>IF($U$70=0,0,IF(OR($B$25=0,$B$25=180,$B$25=360),(($U$40-$B$16)*$AB$34)+$C$16,$X$61+(($V$70-$U$61)*$AA$40)))</f>
        <v>0</v>
      </c>
      <c r="X70" s="348">
        <f>IF($U$70=0,0,IF(OR($B$25=0,$B$25=180,$B$25=360),$E$22-ABS(($X$41-$W$70)/$M$20),IF(AND($U$40&lt;=$U$41,$X$40&gt;=$Y$40),ABS(($X$40-$W$70)/($AA$40*$M$17*$M$19)),IF(AND($U$40&lt;=$U$41,$X$40&lt;$Y$40),ABS($E$22-(ABS(($X$40-$W$70)/($AA$40*$M$17*$M$19)))),IF(AND($U$40&gt;$U$41,$X$41&gt;=$Y$41),ABS(($X$41-$W$70)/($AA$40*$M$17*$M$19)),IF(AND($U$40&gt;=$U$41,$X$41&lt;$Y$41),ABS($E$22-(ABS(($X$40-$W$70)/($AA$40*$M$17*$M$19))))))))))</f>
        <v>0</v>
      </c>
      <c r="Y70" s="348" t="str">
        <f>IF(AND($U$70=0,$W$70=0),"No",IF(AND($V$70&lt;=$B$17,$V$70&gt;=$B$16,$V$70&gt;=MIN($U$40:$U$41),$V$70&lt;=MAX($U$40:$U$41),$W$70&lt;$C$17,$X$70&lt;=$E$22),"Yes","No"))</f>
        <v>No</v>
      </c>
      <c r="Z70" s="344" t="str">
        <f>IF($U$70=0,"No",IF($Y$70="Yes","Partial",IF(AND($U$70&lt;$E$22,$X$41&lt;$Y$41,$Y$67="No",$Y$68="No",$Y$69="No",$Y$70="No",$Y$71="No",$Y$72="No"),"Yes",IF(AND($Y$70="No",$X$61&gt;$Y$61),"No","Yes"))))</f>
        <v>No</v>
      </c>
      <c r="AA70" s="344" t="str">
        <f>IF($Z$70="Yes","None",IF(AND($Z$70="No",$U$70=0),"None",IF($Z$70="No","All",IF(AND($X$41&gt;=$Y$41,$U$41&gt;=$U$40,$AA$71&lt;&gt;"Right"),"Right","Left"))))</f>
        <v>None</v>
      </c>
      <c r="AB70" s="394">
        <f>IF($U$70=0,0,IF($Z$70="No",0,IF($Z$70="Yes",$U$70,IF(OR($U$70=$E$22,AND($AA$70="Right",MIN($U$40:$U$41)&lt;=$B$16,MAX($U$40:$U$41)&lt;=$B$17)),$U$70-(ABS(($U$41-$V$70)/($M$17*$M$19))),IF($AA$70="Right",$U$70-(ABS(($B$17-$V$70)/($M$17*$M$19))),IF(MIN($U$40:$U$41)&lt;=$B$16,$U$70-(ABS(($V$70-$B$16)/($M$17*$M$19))),ABS(($V$70-$B$17)/($M$17*$M$19))))))))</f>
        <v>0</v>
      </c>
      <c r="AI70" s="364">
        <v>25</v>
      </c>
      <c r="AJ70" s="330">
        <f t="shared" si="39"/>
        <v>0</v>
      </c>
      <c r="AK70" s="344" t="str">
        <f t="shared" si="20"/>
        <v>None</v>
      </c>
      <c r="AL70" s="330">
        <f t="shared" si="55"/>
        <v>0</v>
      </c>
      <c r="AM70" s="336">
        <f t="shared" si="51"/>
        <v>0</v>
      </c>
      <c r="AN70" s="330">
        <f t="shared" si="40"/>
        <v>0</v>
      </c>
      <c r="AO70" s="437">
        <f t="shared" si="52"/>
        <v>0</v>
      </c>
      <c r="AP70" s="348" t="b">
        <f t="shared" si="53"/>
        <v>0</v>
      </c>
      <c r="AQ70" s="348">
        <f t="shared" si="21"/>
        <v>0</v>
      </c>
      <c r="AR70" s="348">
        <f t="shared" si="22"/>
        <v>0</v>
      </c>
      <c r="AS70" s="348">
        <f t="shared" si="41"/>
        <v>0</v>
      </c>
      <c r="AT70" s="348" t="str">
        <f t="shared" si="42"/>
        <v/>
      </c>
      <c r="AU70" s="348" t="str">
        <f t="shared" si="43"/>
        <v/>
      </c>
      <c r="AV70" s="348">
        <f t="shared" si="44"/>
        <v>0</v>
      </c>
      <c r="AW70" s="348">
        <f t="shared" si="23"/>
        <v>0</v>
      </c>
      <c r="AX70" s="348">
        <f t="shared" si="24"/>
        <v>0</v>
      </c>
      <c r="AY70" s="330">
        <f t="shared" si="25"/>
        <v>0</v>
      </c>
      <c r="AZ70" s="330">
        <f t="shared" si="26"/>
        <v>0</v>
      </c>
      <c r="BA70" s="330">
        <f t="shared" si="27"/>
        <v>0</v>
      </c>
      <c r="BB70" s="330">
        <f t="shared" si="28"/>
        <v>0</v>
      </c>
      <c r="BC70" s="330">
        <f t="shared" si="29"/>
        <v>0</v>
      </c>
      <c r="BD70" s="330">
        <f t="shared" si="30"/>
        <v>0</v>
      </c>
      <c r="BE70" s="330">
        <f t="shared" si="45"/>
        <v>0</v>
      </c>
      <c r="BF70" s="330">
        <f t="shared" si="46"/>
        <v>0</v>
      </c>
      <c r="BG70" s="330">
        <f t="shared" si="31"/>
        <v>0</v>
      </c>
      <c r="BH70" s="330" t="str">
        <f t="shared" si="32"/>
        <v/>
      </c>
      <c r="BI70" s="330" t="str">
        <f t="shared" si="47"/>
        <v/>
      </c>
      <c r="BJ70" s="330" t="str">
        <f t="shared" si="48"/>
        <v/>
      </c>
      <c r="BK70" s="330" t="str">
        <f t="shared" si="33"/>
        <v/>
      </c>
      <c r="BL70" s="330" t="str">
        <f t="shared" si="34"/>
        <v/>
      </c>
      <c r="BM70" s="330" t="str">
        <f t="shared" si="49"/>
        <v/>
      </c>
      <c r="BN70" s="330" t="str">
        <f t="shared" si="54"/>
        <v/>
      </c>
      <c r="BO70" s="330">
        <f t="shared" si="35"/>
        <v>0</v>
      </c>
      <c r="BP70" s="330">
        <f t="shared" si="36"/>
        <v>0</v>
      </c>
      <c r="BQ70" s="330">
        <f t="shared" si="37"/>
        <v>0</v>
      </c>
      <c r="BR70" s="330" t="str">
        <f t="shared" si="38"/>
        <v/>
      </c>
      <c r="BS70" s="432" t="str">
        <f t="shared" si="50"/>
        <v/>
      </c>
    </row>
    <row r="71" spans="1:71" ht="15.75" thickTop="1" thickBot="1">
      <c r="A71" s="281" t="s">
        <v>18</v>
      </c>
      <c r="B71" s="503">
        <f>IF(OR($A$6="",$F$6="",$F$25=""),0,TAN((45+($F$29/2))*PI()/180)^2)</f>
        <v>0</v>
      </c>
      <c r="C71" s="504">
        <f>IF($E$61=0,0,0.5*$B$71*$E$60)</f>
        <v>0</v>
      </c>
      <c r="D71" s="505">
        <f>IF($F$28="",0,$BQ$43)</f>
        <v>0</v>
      </c>
      <c r="E71" s="505">
        <f>IF($F$28="",0,TAN($F$29*PI()/180))</f>
        <v>0</v>
      </c>
      <c r="F71" s="504">
        <f>IF(OR($L$60&gt;=0,$D$71=0),0,$I$60*$E$71*($D$71/$D$72))</f>
        <v>0</v>
      </c>
      <c r="G71" s="677"/>
      <c r="H71" s="515" t="s">
        <v>881</v>
      </c>
      <c r="I71" s="516">
        <f>ABS($L$71)</f>
        <v>0</v>
      </c>
      <c r="J71" s="693" t="str">
        <f>IF($L$71=0,"",IF($L71&gt;=0,CHAR(232),CHAR(231)))</f>
        <v/>
      </c>
      <c r="K71" s="645" t="s">
        <v>1029</v>
      </c>
      <c r="L71" s="648">
        <f>$L$66+$L$67+$L$68+$L$69+$L$70+$M$70</f>
        <v>0</v>
      </c>
      <c r="N71" s="141">
        <v>112.5</v>
      </c>
      <c r="O71" s="126">
        <v>1</v>
      </c>
      <c r="P71" s="799"/>
      <c r="R71" s="50"/>
      <c r="S71" s="364" t="s">
        <v>669</v>
      </c>
      <c r="T71" s="348" t="e">
        <f>($B$18-$B$17)/ABS($M$17)/ABS($M$19)</f>
        <v>#DIV/0!</v>
      </c>
      <c r="U71" s="348">
        <f>IF(AND(MIN($U$40:$U$41)&gt;=$B$17,MAX($U$40:$U$41)&lt;=$B$18),$E$22,IF(AND($T$62="No",$T$63="No"),0,$E$22-$W$62-$U$72))</f>
        <v>0</v>
      </c>
      <c r="V71" s="348">
        <f>IF($U$71=0,0,IF(OR($B$25=0,$B$25=180,$B$25=360),$U$40,$U$62+(($X$62-$C$17)/($AB$35-$AA$40))))</f>
        <v>0</v>
      </c>
      <c r="W71" s="348">
        <f>IF($U$71=0,0,IF(OR($B$25=0,$B$25=180,$B$25=360),(($U$40-$B$17)*$AB$35)+$C$17,$X$62+(($V$71-$U$62)*$AA$40)))</f>
        <v>0</v>
      </c>
      <c r="X71" s="348">
        <f>IF($U$71=0,0,IF(OR($B$25=0,$B$25=180,$B$25=360),$E$22-ABS(($X$41-$W$71)/$M$20),IF(AND($U$40&lt;=$U$41,$X$40&gt;=$Y$40),ABS(($X$40-$W$71)/($AA$40*$M$17*$M$19)),IF(AND($U$40&lt;=$U$41,$X$40&lt;$Y$40),ABS($E$22-(ABS(($X$40-$W$71)/($AA$40*$M$17*$M$19)))),IF(AND($U$40&gt;$U$41,$X$41&gt;=$Y$41),ABS(($X$41-$W$71)/($AA$40*$M$17*$M$19)),IF(AND($U$40&gt;=$U$41,$X$41&lt;$Y$41),ABS($E$22-(ABS(($X$40-$W$71)/($AA$40*$M$17*$M$19))))))))))</f>
        <v>0</v>
      </c>
      <c r="Y71" s="348" t="str">
        <f>IF(AND($U$71=0,$W$71=0),"No",IF(AND($V$71&lt;=$B$18,$V$71&gt;=$B$17,$V$71&gt;=MIN($U$40:$U$41),$V$71&lt;=MAX($U$40:$U$41),$W$71&lt;$C$18,$X$71&lt;=$E$22),"Yes","No"))</f>
        <v>No</v>
      </c>
      <c r="Z71" s="344" t="str">
        <f>IF($U$71=0,"No",IF($Y$71="Yes","Partial",IF(AND($U$71&lt;$E$22,$X$41&lt;$Y$41,$Y$67="No",$Y$68="No",$Y$69="No",$Y$70="No",$Y$71="No",$Y$72="No"),"Yes",IF(AND($Y$71="No",$X$62&gt;$Y$62),"No","Yes"))))</f>
        <v>No</v>
      </c>
      <c r="AA71" s="344" t="str">
        <f>IF($Z$71="Yes","None",IF(AND($Z$71="No",$U$71=0),"None",IF($Z$71="No","All",IF(AND($X$41&gt;=$Y$41,$U$41&gt;=$U$40,$AA$72&lt;&gt;"Right"),"Right","Left"))))</f>
        <v>None</v>
      </c>
      <c r="AB71" s="394">
        <f>IF($U$71=0,0,IF($Z$71="No",0,IF($Z$71="Yes",$U$71,IF(OR($U$71=$E$22,AND($AA$71="Right",MIN($U$40:$U$41)&lt;=$B$17,MAX($U$40:$U$41)&lt;=$B$18)),$U$71-(ABS(($U$41-$V$71)/($M$17*$M$19))),IF($AA$71="Right",$U$71-(ABS(($B$18-$V$71)/($M$17*$M$19))),IF(MIN($U$40:$U$41)&lt;=$B$17,$U$71-(ABS(($V$71-$B$17)/($M$17*$M$19))),ABS(($V$71-$B$18)/($M$17*$M$19))))))))</f>
        <v>0</v>
      </c>
      <c r="AI71" s="364">
        <v>26</v>
      </c>
      <c r="AJ71" s="330">
        <f t="shared" si="39"/>
        <v>0</v>
      </c>
      <c r="AK71" s="344" t="str">
        <f t="shared" si="20"/>
        <v>None</v>
      </c>
      <c r="AL71" s="330">
        <f t="shared" si="55"/>
        <v>0</v>
      </c>
      <c r="AM71" s="336">
        <f t="shared" si="51"/>
        <v>0</v>
      </c>
      <c r="AN71" s="330">
        <f t="shared" si="40"/>
        <v>0</v>
      </c>
      <c r="AO71" s="437">
        <f t="shared" si="52"/>
        <v>0</v>
      </c>
      <c r="AP71" s="348" t="b">
        <f t="shared" si="53"/>
        <v>0</v>
      </c>
      <c r="AQ71" s="348">
        <f t="shared" si="21"/>
        <v>0</v>
      </c>
      <c r="AR71" s="348">
        <f t="shared" si="22"/>
        <v>0</v>
      </c>
      <c r="AS71" s="348">
        <f t="shared" si="41"/>
        <v>0</v>
      </c>
      <c r="AT71" s="348" t="str">
        <f t="shared" si="42"/>
        <v/>
      </c>
      <c r="AU71" s="348" t="str">
        <f t="shared" si="43"/>
        <v/>
      </c>
      <c r="AV71" s="348">
        <f t="shared" si="44"/>
        <v>0</v>
      </c>
      <c r="AW71" s="348">
        <f t="shared" si="23"/>
        <v>0</v>
      </c>
      <c r="AX71" s="348">
        <f t="shared" si="24"/>
        <v>0</v>
      </c>
      <c r="AY71" s="330">
        <f t="shared" si="25"/>
        <v>0</v>
      </c>
      <c r="AZ71" s="330">
        <f t="shared" si="26"/>
        <v>0</v>
      </c>
      <c r="BA71" s="330">
        <f t="shared" si="27"/>
        <v>0</v>
      </c>
      <c r="BB71" s="330">
        <f t="shared" si="28"/>
        <v>0</v>
      </c>
      <c r="BC71" s="330">
        <f t="shared" si="29"/>
        <v>0</v>
      </c>
      <c r="BD71" s="330">
        <f t="shared" si="30"/>
        <v>0</v>
      </c>
      <c r="BE71" s="330">
        <f t="shared" si="45"/>
        <v>0</v>
      </c>
      <c r="BF71" s="330">
        <f t="shared" si="46"/>
        <v>0</v>
      </c>
      <c r="BG71" s="330">
        <f t="shared" si="31"/>
        <v>0</v>
      </c>
      <c r="BH71" s="330" t="str">
        <f t="shared" si="32"/>
        <v/>
      </c>
      <c r="BI71" s="330" t="str">
        <f t="shared" si="47"/>
        <v/>
      </c>
      <c r="BJ71" s="330" t="str">
        <f t="shared" si="48"/>
        <v/>
      </c>
      <c r="BK71" s="330" t="str">
        <f t="shared" si="33"/>
        <v/>
      </c>
      <c r="BL71" s="330" t="str">
        <f t="shared" si="34"/>
        <v/>
      </c>
      <c r="BM71" s="330" t="str">
        <f t="shared" si="49"/>
        <v/>
      </c>
      <c r="BN71" s="330" t="str">
        <f t="shared" si="54"/>
        <v/>
      </c>
      <c r="BO71" s="330">
        <f t="shared" si="35"/>
        <v>0</v>
      </c>
      <c r="BP71" s="330">
        <f t="shared" si="36"/>
        <v>0</v>
      </c>
      <c r="BQ71" s="330">
        <f t="shared" si="37"/>
        <v>0</v>
      </c>
      <c r="BR71" s="330" t="str">
        <f t="shared" si="38"/>
        <v/>
      </c>
      <c r="BS71" s="432" t="str">
        <f t="shared" si="50"/>
        <v/>
      </c>
    </row>
    <row r="72" spans="1:71" ht="17.25" thickTop="1" thickBot="1">
      <c r="A72" s="177" t="s">
        <v>457</v>
      </c>
      <c r="B72" s="284" t="s">
        <v>210</v>
      </c>
      <c r="C72" s="456">
        <f>$C$70+$C$71</f>
        <v>0</v>
      </c>
      <c r="D72" s="617">
        <f>$D$70+$D$71</f>
        <v>0</v>
      </c>
      <c r="E72" s="284" t="s">
        <v>210</v>
      </c>
      <c r="F72" s="456">
        <f>$F$70+$F$71</f>
        <v>0</v>
      </c>
      <c r="G72" s="657"/>
      <c r="H72" s="468" t="s">
        <v>882</v>
      </c>
      <c r="I72" s="510">
        <f>IF(OR($E$22="",$F$22="",$F$25="",$G$25=""),0,IF($I$66=0,0,IF($L$69&gt;=0,($I$67+$I$68+$I$70)/($I$66+$I$69),($I$67+$I$68+$I$69+$I$70)/$I$66)))</f>
        <v>0</v>
      </c>
      <c r="J72" s="818">
        <f>$I$72-$L$72</f>
        <v>-2</v>
      </c>
      <c r="K72" s="646" t="str">
        <f>IF(AND($F$25="",$G$25=""),"",IF(OR($J$25=0,$I$72&gt;=$L$72),"Structure is Horizontally Stable",IF(AND($I$72&lt;$L$72,$L$69&gt;=0),$L$72*($L$66+$L$69)-(-$L$67-$L$68-$L$70-$M$70),IF(AND($I$72&lt;$L$72,$L$69&lt;0),$L$72*($L$66)-(-$L$67-$L$68-$L$70-$M$70-$L$69),""))))</f>
        <v/>
      </c>
      <c r="L72" s="525">
        <f>'2-Constants'!$C$6</f>
        <v>2</v>
      </c>
      <c r="N72" s="141">
        <v>135</v>
      </c>
      <c r="O72" s="126">
        <v>0.81</v>
      </c>
      <c r="P72" s="799"/>
      <c r="R72" s="50"/>
      <c r="S72" s="365" t="s">
        <v>670</v>
      </c>
      <c r="T72" s="355" t="e">
        <f>($B$19-$B$18)/ABS($M$17)/ABS($M$19)</f>
        <v>#DIV/0!</v>
      </c>
      <c r="U72" s="355">
        <f>IF(MIN($U$40:$U$41)&gt;=$B$18,$E$22,IF($T$63="No",0,$E$22-$W$63))</f>
        <v>0</v>
      </c>
      <c r="V72" s="355">
        <f>IF($U$72=0,0,IF(OR($B$25=0,$B$25=180,$B$25=360),$U$40,$U$63+(($X$63-$C$18)/($AB$36-$AA$40))))</f>
        <v>0</v>
      </c>
      <c r="W72" s="355">
        <f>IF($U$72=0,0,IF(OR($B$25=0,$B$25=180,$B$25=360),(($U$40-$B$18)*$AB$36)+$C$18,$X$63+(($V$72-$U$63)*$AA$40)))</f>
        <v>0</v>
      </c>
      <c r="X72" s="355">
        <f>IF($U$72=0,0,IF(OR($B$25=0,$B$25=180,$B$25=360),$E$22-ABS(($X$41-$W$72)/$M$20),IF(AND($U$40&lt;=$U$41,$X$40&gt;=$Y$40),ABS(($X$40-$W$72)/($AA$40*$M$17*$M$19)),IF(AND($U$40&lt;=$U$41,$X$40&lt;$Y$40),ABS($E$22-(ABS(($X$40-$W$72)/($AA$40*$M$17*$M$19)))),IF(AND($U$40&gt;$U$41,$X$41&gt;=$Y$41),ABS(($X$41-$W$72)/($AA$40*$M$17*$M$19)),IF(AND($U$40&gt;=$U$41,$X$41&lt;$Y$41),ABS($E$22-(ABS(($X$40-$W$72)/($AA$40*$M$17*$M$19))))))))))</f>
        <v>0</v>
      </c>
      <c r="Y72" s="355" t="str">
        <f>IF(AND($U$72=0,$W$72=0),"No",IF(AND($V$72&lt;=$B$19,$V$72&gt;=$B$18,$V$72&gt;=MIN($U$40:$U$41),$V$72&lt;=MAX($U$40:$U$41),$W$72&lt;$C$19,$X$72&lt;=$E$22),"Yes","No"))</f>
        <v>No</v>
      </c>
      <c r="Z72" s="409" t="str">
        <f>IF($U$72=0,"No",IF($Y$72="Yes","Partial",IF(AND($U$72&lt;$E$22,$X$41&lt;$Y$41,$Y$67="No",$Y$68="No",$Y$69="No",$Y$70="No",$Y$71="No",$Y$72="No"),"Yes",IF(AND($Y$72="No",$X$63&gt;$Y$63),"No","Yes"))))</f>
        <v>No</v>
      </c>
      <c r="AA72" s="409" t="str">
        <f>IF($Z$72="Yes","None",IF(AND($Z$72="No",$U$72=0),"None",IF($Z$72="No","All",IF(AND($X$41&gt;=$Y$41,$U$41&gt;=$U$40),"Right","Left"))))</f>
        <v>None</v>
      </c>
      <c r="AB72" s="403">
        <f>IF($U$72=0,0,IF($Z$72="No",0,IF($Z$72="Yes",$U$72,IF(OR($AA$72="Right",$U$72=$E$22),$U$72-(ABS(($U$41-$V$72)/($M$17*$M$19))),$U$72-(ABS(($V$72-$B$18)/($M$17*$M$19)))))))</f>
        <v>0</v>
      </c>
      <c r="AI72" s="364">
        <v>27</v>
      </c>
      <c r="AJ72" s="330">
        <f t="shared" si="39"/>
        <v>0</v>
      </c>
      <c r="AK72" s="344" t="str">
        <f t="shared" si="20"/>
        <v>None</v>
      </c>
      <c r="AL72" s="330">
        <f t="shared" si="55"/>
        <v>0</v>
      </c>
      <c r="AM72" s="336">
        <f t="shared" si="51"/>
        <v>0</v>
      </c>
      <c r="AN72" s="330">
        <f t="shared" si="40"/>
        <v>0</v>
      </c>
      <c r="AO72" s="437">
        <f t="shared" si="52"/>
        <v>0</v>
      </c>
      <c r="AP72" s="348" t="b">
        <f t="shared" si="53"/>
        <v>0</v>
      </c>
      <c r="AQ72" s="348">
        <f t="shared" si="21"/>
        <v>0</v>
      </c>
      <c r="AR72" s="348">
        <f t="shared" si="22"/>
        <v>0</v>
      </c>
      <c r="AS72" s="348">
        <f t="shared" si="41"/>
        <v>0</v>
      </c>
      <c r="AT72" s="348" t="str">
        <f t="shared" si="42"/>
        <v/>
      </c>
      <c r="AU72" s="348" t="str">
        <f t="shared" si="43"/>
        <v/>
      </c>
      <c r="AV72" s="348">
        <f t="shared" si="44"/>
        <v>0</v>
      </c>
      <c r="AW72" s="348">
        <f t="shared" si="23"/>
        <v>0</v>
      </c>
      <c r="AX72" s="348">
        <f t="shared" si="24"/>
        <v>0</v>
      </c>
      <c r="AY72" s="330">
        <f t="shared" si="25"/>
        <v>0</v>
      </c>
      <c r="AZ72" s="330">
        <f t="shared" si="26"/>
        <v>0</v>
      </c>
      <c r="BA72" s="330">
        <f t="shared" si="27"/>
        <v>0</v>
      </c>
      <c r="BB72" s="330">
        <f t="shared" si="28"/>
        <v>0</v>
      </c>
      <c r="BC72" s="330">
        <f t="shared" si="29"/>
        <v>0</v>
      </c>
      <c r="BD72" s="330">
        <f t="shared" si="30"/>
        <v>0</v>
      </c>
      <c r="BE72" s="330">
        <f t="shared" si="45"/>
        <v>0</v>
      </c>
      <c r="BF72" s="330">
        <f t="shared" si="46"/>
        <v>0</v>
      </c>
      <c r="BG72" s="330">
        <f t="shared" si="31"/>
        <v>0</v>
      </c>
      <c r="BH72" s="330" t="str">
        <f t="shared" si="32"/>
        <v/>
      </c>
      <c r="BI72" s="330" t="str">
        <f t="shared" si="47"/>
        <v/>
      </c>
      <c r="BJ72" s="330" t="str">
        <f t="shared" si="48"/>
        <v/>
      </c>
      <c r="BK72" s="330" t="str">
        <f t="shared" si="33"/>
        <v/>
      </c>
      <c r="BL72" s="330" t="str">
        <f t="shared" si="34"/>
        <v/>
      </c>
      <c r="BM72" s="330" t="str">
        <f t="shared" si="49"/>
        <v/>
      </c>
      <c r="BN72" s="330" t="str">
        <f t="shared" si="54"/>
        <v/>
      </c>
      <c r="BO72" s="330">
        <f t="shared" si="35"/>
        <v>0</v>
      </c>
      <c r="BP72" s="330">
        <f t="shared" si="36"/>
        <v>0</v>
      </c>
      <c r="BQ72" s="330">
        <f t="shared" si="37"/>
        <v>0</v>
      </c>
      <c r="BR72" s="330" t="str">
        <f t="shared" si="38"/>
        <v/>
      </c>
      <c r="BS72" s="432" t="str">
        <f t="shared" si="50"/>
        <v/>
      </c>
    </row>
    <row r="73" spans="1:71">
      <c r="A73" s="657"/>
      <c r="B73" s="657"/>
      <c r="C73" s="657"/>
      <c r="D73" s="657"/>
      <c r="E73" s="657"/>
      <c r="F73" s="657"/>
      <c r="G73" s="657"/>
      <c r="H73" s="657"/>
      <c r="I73" s="657"/>
      <c r="J73" s="657"/>
      <c r="K73" s="801" t="str">
        <f>IF($K$72&lt;&gt;"Structure is Horizontally Stable","",IF($K$72="Structure is Horizontally Stable",IF($L$69&gt;=0,($I$67+$I$68+$I$70)-(($I$69+$I$66)*$L$72),($I$67+$I$68+$I$69+$I$70)-(($I$66)*$L$72))))</f>
        <v/>
      </c>
      <c r="N73" s="141">
        <v>157.5</v>
      </c>
      <c r="O73" s="126">
        <v>0.75</v>
      </c>
      <c r="P73" s="799"/>
      <c r="R73" s="19"/>
      <c r="T73" s="401" t="s">
        <v>682</v>
      </c>
      <c r="U73" s="399">
        <f>SUM(U67:U72)</f>
        <v>0</v>
      </c>
      <c r="V73" s="362" t="str">
        <f>IF($U$53=$E$22,"OK","ERROR")</f>
        <v>OK</v>
      </c>
      <c r="AA73" s="272" t="s">
        <v>457</v>
      </c>
      <c r="AB73" s="399">
        <f>SUM(AB67:AB72)</f>
        <v>0</v>
      </c>
      <c r="AI73" s="364">
        <v>28</v>
      </c>
      <c r="AJ73" s="330">
        <f t="shared" si="39"/>
        <v>0</v>
      </c>
      <c r="AK73" s="344" t="str">
        <f t="shared" si="20"/>
        <v>None</v>
      </c>
      <c r="AL73" s="330">
        <f t="shared" si="55"/>
        <v>0</v>
      </c>
      <c r="AM73" s="336">
        <f t="shared" si="51"/>
        <v>0</v>
      </c>
      <c r="AN73" s="330">
        <f t="shared" si="40"/>
        <v>0</v>
      </c>
      <c r="AO73" s="437">
        <f t="shared" si="52"/>
        <v>0</v>
      </c>
      <c r="AP73" s="348" t="b">
        <f t="shared" si="53"/>
        <v>0</v>
      </c>
      <c r="AQ73" s="348">
        <f t="shared" si="21"/>
        <v>0</v>
      </c>
      <c r="AR73" s="348">
        <f t="shared" si="22"/>
        <v>0</v>
      </c>
      <c r="AS73" s="348">
        <f t="shared" si="41"/>
        <v>0</v>
      </c>
      <c r="AT73" s="348" t="str">
        <f t="shared" si="42"/>
        <v/>
      </c>
      <c r="AU73" s="348" t="str">
        <f t="shared" si="43"/>
        <v/>
      </c>
      <c r="AV73" s="348">
        <f t="shared" si="44"/>
        <v>0</v>
      </c>
      <c r="AW73" s="348">
        <f t="shared" si="23"/>
        <v>0</v>
      </c>
      <c r="AX73" s="348">
        <f t="shared" si="24"/>
        <v>0</v>
      </c>
      <c r="AY73" s="330">
        <f t="shared" si="25"/>
        <v>0</v>
      </c>
      <c r="AZ73" s="330">
        <f t="shared" si="26"/>
        <v>0</v>
      </c>
      <c r="BA73" s="330">
        <f t="shared" si="27"/>
        <v>0</v>
      </c>
      <c r="BB73" s="330">
        <f t="shared" si="28"/>
        <v>0</v>
      </c>
      <c r="BC73" s="330">
        <f t="shared" si="29"/>
        <v>0</v>
      </c>
      <c r="BD73" s="330">
        <f t="shared" si="30"/>
        <v>0</v>
      </c>
      <c r="BE73" s="330">
        <f t="shared" si="45"/>
        <v>0</v>
      </c>
      <c r="BF73" s="330">
        <f t="shared" si="46"/>
        <v>0</v>
      </c>
      <c r="BG73" s="330">
        <f t="shared" si="31"/>
        <v>0</v>
      </c>
      <c r="BH73" s="330" t="str">
        <f t="shared" si="32"/>
        <v/>
      </c>
      <c r="BI73" s="330" t="str">
        <f t="shared" si="47"/>
        <v/>
      </c>
      <c r="BJ73" s="330" t="str">
        <f t="shared" si="48"/>
        <v/>
      </c>
      <c r="BK73" s="330" t="str">
        <f t="shared" si="33"/>
        <v/>
      </c>
      <c r="BL73" s="330" t="str">
        <f t="shared" si="34"/>
        <v/>
      </c>
      <c r="BM73" s="330" t="str">
        <f t="shared" si="49"/>
        <v/>
      </c>
      <c r="BN73" s="330" t="str">
        <f t="shared" si="54"/>
        <v/>
      </c>
      <c r="BO73" s="330">
        <f t="shared" si="35"/>
        <v>0</v>
      </c>
      <c r="BP73" s="330">
        <f t="shared" si="36"/>
        <v>0</v>
      </c>
      <c r="BQ73" s="330">
        <f t="shared" si="37"/>
        <v>0</v>
      </c>
      <c r="BR73" s="330" t="str">
        <f t="shared" si="38"/>
        <v/>
      </c>
      <c r="BS73" s="432" t="str">
        <f t="shared" si="50"/>
        <v/>
      </c>
    </row>
    <row r="74" spans="1:71" ht="18.75" thickBot="1">
      <c r="A74" s="968" t="s">
        <v>460</v>
      </c>
      <c r="B74" s="968"/>
      <c r="C74" s="968"/>
      <c r="D74" s="968"/>
      <c r="E74" s="968"/>
      <c r="F74" s="968"/>
      <c r="G74" s="968"/>
      <c r="H74" s="968"/>
      <c r="I74" s="968"/>
      <c r="J74" s="968"/>
      <c r="L74" s="273" t="str">
        <f>IF($D$22="Yes","Rootwad","Root Collar")</f>
        <v>Root Collar</v>
      </c>
      <c r="N74" s="142">
        <v>180</v>
      </c>
      <c r="O74" s="129">
        <v>1.1000000000000001</v>
      </c>
      <c r="P74" s="799"/>
      <c r="R74" s="19"/>
      <c r="AI74" s="364">
        <v>29</v>
      </c>
      <c r="AJ74" s="330">
        <f t="shared" si="39"/>
        <v>0</v>
      </c>
      <c r="AK74" s="344" t="str">
        <f t="shared" si="20"/>
        <v>None</v>
      </c>
      <c r="AL74" s="330">
        <f t="shared" si="55"/>
        <v>0</v>
      </c>
      <c r="AM74" s="336">
        <f t="shared" si="51"/>
        <v>0</v>
      </c>
      <c r="AN74" s="330">
        <f t="shared" si="40"/>
        <v>0</v>
      </c>
      <c r="AO74" s="437">
        <f t="shared" si="52"/>
        <v>0</v>
      </c>
      <c r="AP74" s="348" t="b">
        <f t="shared" si="53"/>
        <v>0</v>
      </c>
      <c r="AQ74" s="348">
        <f t="shared" si="21"/>
        <v>0</v>
      </c>
      <c r="AR74" s="348">
        <f t="shared" si="22"/>
        <v>0</v>
      </c>
      <c r="AS74" s="348">
        <f t="shared" si="41"/>
        <v>0</v>
      </c>
      <c r="AT74" s="348" t="str">
        <f t="shared" si="42"/>
        <v/>
      </c>
      <c r="AU74" s="348" t="str">
        <f t="shared" si="43"/>
        <v/>
      </c>
      <c r="AV74" s="348">
        <f t="shared" si="44"/>
        <v>0</v>
      </c>
      <c r="AW74" s="348">
        <f t="shared" si="23"/>
        <v>0</v>
      </c>
      <c r="AX74" s="348">
        <f t="shared" si="24"/>
        <v>0</v>
      </c>
      <c r="AY74" s="330">
        <f t="shared" si="25"/>
        <v>0</v>
      </c>
      <c r="AZ74" s="330">
        <f t="shared" si="26"/>
        <v>0</v>
      </c>
      <c r="BA74" s="330">
        <f t="shared" si="27"/>
        <v>0</v>
      </c>
      <c r="BB74" s="330">
        <f t="shared" si="28"/>
        <v>0</v>
      </c>
      <c r="BC74" s="330">
        <f t="shared" si="29"/>
        <v>0</v>
      </c>
      <c r="BD74" s="330">
        <f t="shared" si="30"/>
        <v>0</v>
      </c>
      <c r="BE74" s="330">
        <f t="shared" si="45"/>
        <v>0</v>
      </c>
      <c r="BF74" s="330">
        <f t="shared" si="46"/>
        <v>0</v>
      </c>
      <c r="BG74" s="330">
        <f t="shared" si="31"/>
        <v>0</v>
      </c>
      <c r="BH74" s="330" t="str">
        <f t="shared" si="32"/>
        <v/>
      </c>
      <c r="BI74" s="330" t="str">
        <f t="shared" si="47"/>
        <v/>
      </c>
      <c r="BJ74" s="330" t="str">
        <f t="shared" si="48"/>
        <v/>
      </c>
      <c r="BK74" s="330" t="str">
        <f t="shared" si="33"/>
        <v/>
      </c>
      <c r="BL74" s="330" t="str">
        <f t="shared" si="34"/>
        <v/>
      </c>
      <c r="BM74" s="330" t="str">
        <f t="shared" si="49"/>
        <v/>
      </c>
      <c r="BN74" s="330" t="str">
        <f t="shared" si="54"/>
        <v/>
      </c>
      <c r="BO74" s="330">
        <f t="shared" si="35"/>
        <v>0</v>
      </c>
      <c r="BP74" s="330">
        <f t="shared" si="36"/>
        <v>0</v>
      </c>
      <c r="BQ74" s="330">
        <f t="shared" si="37"/>
        <v>0</v>
      </c>
      <c r="BR74" s="330" t="str">
        <f t="shared" si="38"/>
        <v/>
      </c>
      <c r="BS74" s="432" t="str">
        <f t="shared" si="50"/>
        <v/>
      </c>
    </row>
    <row r="75" spans="1:71" ht="14.25" thickBot="1">
      <c r="A75" s="971" t="s">
        <v>930</v>
      </c>
      <c r="B75" s="972"/>
      <c r="C75" s="972"/>
      <c r="D75" s="865" t="s">
        <v>963</v>
      </c>
      <c r="E75" s="1020"/>
      <c r="F75" s="1020"/>
      <c r="G75" s="827"/>
      <c r="H75" s="999" t="s">
        <v>460</v>
      </c>
      <c r="I75" s="1000"/>
      <c r="J75" s="1000"/>
      <c r="N75" s="477" t="s">
        <v>470</v>
      </c>
      <c r="O75" s="189"/>
      <c r="S75" s="973" t="s">
        <v>640</v>
      </c>
      <c r="T75" s="1068"/>
      <c r="U75" s="1069"/>
      <c r="W75" s="973" t="s">
        <v>641</v>
      </c>
      <c r="X75" s="964"/>
      <c r="Y75" s="964"/>
      <c r="Z75" s="964"/>
      <c r="AA75" s="964"/>
      <c r="AB75" s="964"/>
      <c r="AC75" s="964"/>
      <c r="AD75" s="964"/>
      <c r="AE75" s="965"/>
      <c r="AI75" s="364">
        <v>30</v>
      </c>
      <c r="AJ75" s="330">
        <f t="shared" si="39"/>
        <v>0</v>
      </c>
      <c r="AK75" s="344" t="str">
        <f t="shared" si="20"/>
        <v>None</v>
      </c>
      <c r="AL75" s="330">
        <f t="shared" si="55"/>
        <v>0</v>
      </c>
      <c r="AM75" s="336">
        <f t="shared" si="51"/>
        <v>0</v>
      </c>
      <c r="AN75" s="330">
        <f t="shared" si="40"/>
        <v>0</v>
      </c>
      <c r="AO75" s="437">
        <f t="shared" si="52"/>
        <v>0</v>
      </c>
      <c r="AP75" s="348" t="b">
        <f t="shared" si="53"/>
        <v>0</v>
      </c>
      <c r="AQ75" s="348">
        <f t="shared" si="21"/>
        <v>0</v>
      </c>
      <c r="AR75" s="348">
        <f t="shared" si="22"/>
        <v>0</v>
      </c>
      <c r="AS75" s="348">
        <f t="shared" si="41"/>
        <v>0</v>
      </c>
      <c r="AT75" s="348" t="str">
        <f t="shared" si="42"/>
        <v/>
      </c>
      <c r="AU75" s="348" t="str">
        <f t="shared" si="43"/>
        <v/>
      </c>
      <c r="AV75" s="348">
        <f t="shared" si="44"/>
        <v>0</v>
      </c>
      <c r="AW75" s="348">
        <f t="shared" si="23"/>
        <v>0</v>
      </c>
      <c r="AX75" s="348">
        <f t="shared" si="24"/>
        <v>0</v>
      </c>
      <c r="AY75" s="330">
        <f t="shared" si="25"/>
        <v>0</v>
      </c>
      <c r="AZ75" s="330">
        <f t="shared" si="26"/>
        <v>0</v>
      </c>
      <c r="BA75" s="330">
        <f t="shared" si="27"/>
        <v>0</v>
      </c>
      <c r="BB75" s="330">
        <f t="shared" si="28"/>
        <v>0</v>
      </c>
      <c r="BC75" s="330">
        <f t="shared" si="29"/>
        <v>0</v>
      </c>
      <c r="BD75" s="330">
        <f t="shared" si="30"/>
        <v>0</v>
      </c>
      <c r="BE75" s="330">
        <f t="shared" si="45"/>
        <v>0</v>
      </c>
      <c r="BF75" s="330">
        <f t="shared" si="46"/>
        <v>0</v>
      </c>
      <c r="BG75" s="330">
        <f t="shared" si="31"/>
        <v>0</v>
      </c>
      <c r="BH75" s="330" t="str">
        <f t="shared" si="32"/>
        <v/>
      </c>
      <c r="BI75" s="330" t="str">
        <f t="shared" si="47"/>
        <v/>
      </c>
      <c r="BJ75" s="330" t="str">
        <f t="shared" si="48"/>
        <v/>
      </c>
      <c r="BK75" s="330" t="str">
        <f t="shared" si="33"/>
        <v/>
      </c>
      <c r="BL75" s="330" t="str">
        <f t="shared" si="34"/>
        <v/>
      </c>
      <c r="BM75" s="330" t="str">
        <f t="shared" si="49"/>
        <v/>
      </c>
      <c r="BN75" s="330" t="str">
        <f t="shared" si="54"/>
        <v/>
      </c>
      <c r="BO75" s="330">
        <f t="shared" si="35"/>
        <v>0</v>
      </c>
      <c r="BP75" s="330">
        <f t="shared" si="36"/>
        <v>0</v>
      </c>
      <c r="BQ75" s="330">
        <f t="shared" si="37"/>
        <v>0</v>
      </c>
      <c r="BR75" s="330" t="str">
        <f t="shared" si="38"/>
        <v/>
      </c>
      <c r="BS75" s="432" t="str">
        <f t="shared" si="50"/>
        <v/>
      </c>
    </row>
    <row r="76" spans="1:71" ht="16.5" thickBot="1">
      <c r="A76" s="582" t="s">
        <v>1031</v>
      </c>
      <c r="B76" s="583" t="s">
        <v>1032</v>
      </c>
      <c r="C76" s="512" t="s">
        <v>1033</v>
      </c>
      <c r="D76" s="582" t="s">
        <v>1034</v>
      </c>
      <c r="E76" s="583" t="s">
        <v>1035</v>
      </c>
      <c r="F76" s="583" t="s">
        <v>1049</v>
      </c>
      <c r="G76" s="589" t="s">
        <v>1036</v>
      </c>
      <c r="H76" s="278" t="s">
        <v>1037</v>
      </c>
      <c r="I76" s="508">
        <f>IF(OR($C$19="",$E$22="",$D$22="",$F$22="",$F$25="",$G$25=""),0,IF($F$78="Stem Tip",$L$77,$L$78))</f>
        <v>0</v>
      </c>
      <c r="J76" s="657"/>
      <c r="L76" s="276" t="s">
        <v>1242</v>
      </c>
      <c r="M76" s="276" t="s">
        <v>1243</v>
      </c>
      <c r="P76" s="963" t="s">
        <v>1030</v>
      </c>
      <c r="Q76" s="1067"/>
      <c r="S76" s="621" t="s">
        <v>990</v>
      </c>
      <c r="T76" s="348" t="str">
        <f>IF(OR($E$22="",$F$22="",$F$25="",$G$25=""),"",$F$22)</f>
        <v/>
      </c>
      <c r="U76" s="349" t="s">
        <v>4</v>
      </c>
      <c r="W76" s="317"/>
      <c r="X76" s="623" t="s">
        <v>996</v>
      </c>
      <c r="Y76" s="348">
        <f>$H$22/2</f>
        <v>0</v>
      </c>
      <c r="Z76" s="315" t="s">
        <v>4</v>
      </c>
      <c r="AA76" s="624" t="s">
        <v>623</v>
      </c>
      <c r="AB76" s="315" t="s">
        <v>624</v>
      </c>
      <c r="AC76" s="315"/>
      <c r="AD76" s="330"/>
      <c r="AE76" s="349"/>
      <c r="AI76" s="364">
        <v>31</v>
      </c>
      <c r="AJ76" s="330">
        <f t="shared" si="39"/>
        <v>0</v>
      </c>
      <c r="AK76" s="344" t="str">
        <f t="shared" si="20"/>
        <v>None</v>
      </c>
      <c r="AL76" s="330">
        <f t="shared" si="55"/>
        <v>0</v>
      </c>
      <c r="AM76" s="336">
        <f t="shared" si="51"/>
        <v>0</v>
      </c>
      <c r="AN76" s="330">
        <f t="shared" si="40"/>
        <v>0</v>
      </c>
      <c r="AO76" s="437">
        <f t="shared" si="52"/>
        <v>0</v>
      </c>
      <c r="AP76" s="348" t="b">
        <f t="shared" si="53"/>
        <v>0</v>
      </c>
      <c r="AQ76" s="348">
        <f t="shared" si="21"/>
        <v>0</v>
      </c>
      <c r="AR76" s="348">
        <f t="shared" si="22"/>
        <v>0</v>
      </c>
      <c r="AS76" s="348">
        <f t="shared" si="41"/>
        <v>0</v>
      </c>
      <c r="AT76" s="348" t="str">
        <f t="shared" si="42"/>
        <v/>
      </c>
      <c r="AU76" s="348" t="str">
        <f t="shared" si="43"/>
        <v/>
      </c>
      <c r="AV76" s="348">
        <f t="shared" si="44"/>
        <v>0</v>
      </c>
      <c r="AW76" s="348">
        <f t="shared" si="23"/>
        <v>0</v>
      </c>
      <c r="AX76" s="348">
        <f t="shared" si="24"/>
        <v>0</v>
      </c>
      <c r="AY76" s="330">
        <f t="shared" si="25"/>
        <v>0</v>
      </c>
      <c r="AZ76" s="330">
        <f t="shared" si="26"/>
        <v>0</v>
      </c>
      <c r="BA76" s="330">
        <f t="shared" si="27"/>
        <v>0</v>
      </c>
      <c r="BB76" s="330">
        <f t="shared" si="28"/>
        <v>0</v>
      </c>
      <c r="BC76" s="330">
        <f t="shared" si="29"/>
        <v>0</v>
      </c>
      <c r="BD76" s="330">
        <f t="shared" si="30"/>
        <v>0</v>
      </c>
      <c r="BE76" s="330">
        <f t="shared" si="45"/>
        <v>0</v>
      </c>
      <c r="BF76" s="330">
        <f t="shared" si="46"/>
        <v>0</v>
      </c>
      <c r="BG76" s="330">
        <f t="shared" si="31"/>
        <v>0</v>
      </c>
      <c r="BH76" s="330" t="str">
        <f t="shared" si="32"/>
        <v/>
      </c>
      <c r="BI76" s="330" t="str">
        <f t="shared" si="47"/>
        <v/>
      </c>
      <c r="BJ76" s="330" t="str">
        <f t="shared" si="48"/>
        <v/>
      </c>
      <c r="BK76" s="330" t="str">
        <f t="shared" si="33"/>
        <v/>
      </c>
      <c r="BL76" s="330" t="str">
        <f t="shared" si="34"/>
        <v/>
      </c>
      <c r="BM76" s="330" t="str">
        <f t="shared" si="49"/>
        <v/>
      </c>
      <c r="BN76" s="330" t="str">
        <f t="shared" si="54"/>
        <v/>
      </c>
      <c r="BO76" s="330">
        <f t="shared" si="35"/>
        <v>0</v>
      </c>
      <c r="BP76" s="330">
        <f t="shared" si="36"/>
        <v>0</v>
      </c>
      <c r="BQ76" s="330">
        <f t="shared" si="37"/>
        <v>0</v>
      </c>
      <c r="BR76" s="330" t="str">
        <f t="shared" si="38"/>
        <v/>
      </c>
      <c r="BS76" s="432" t="str">
        <f t="shared" si="50"/>
        <v/>
      </c>
    </row>
    <row r="77" spans="1:71" s="189" customFormat="1" ht="16.5" thickBot="1">
      <c r="A77" s="607">
        <f>$Q$79</f>
        <v>0</v>
      </c>
      <c r="B77" s="608">
        <f>IF($I$52=0,0,IF($T$12&gt;=$T$11,$E$22-$BL$43,$BL$43))</f>
        <v>0</v>
      </c>
      <c r="C77" s="609">
        <f>IF($F$66=0,0,IF($T$12&gt;=$T$11,$E$22-$BI$43,$BI$43))</f>
        <v>0</v>
      </c>
      <c r="D77" s="607">
        <f>$Q$79</f>
        <v>0</v>
      </c>
      <c r="E77" s="610">
        <f>IF($E$61=0,0,IF($T$12&gt;=$T$11,$E$22-$BS$43,$BS$43))</f>
        <v>0</v>
      </c>
      <c r="F77" s="610">
        <f>IF($F$72=0,0,IF($T$12&gt;=$T$11,$E$22-$BR$43,$BR$43))</f>
        <v>0</v>
      </c>
      <c r="G77" s="611">
        <f>IF($C$72=0,0,IF($T$12&gt;=$T$11,$E$22-$BT$39,$BT$39))</f>
        <v>0</v>
      </c>
      <c r="H77" s="476" t="s">
        <v>1038</v>
      </c>
      <c r="I77" s="529">
        <f>IF(OR($C$19="",$E$22="",$D$22="",$F$22="",$F$25="",$G$25=""),0,IF($F$78="Stem Tip",$M$77,$M$78))</f>
        <v>0</v>
      </c>
      <c r="J77" s="694"/>
      <c r="K77" s="645" t="s">
        <v>1258</v>
      </c>
      <c r="L77" s="636">
        <f>(($I$54*$A$77)+($I$55*$B$77)+($I$66*$C$77)+(IF($L$95&gt;0,$L$95*$D$95,0))+(IF($L$96&gt;0,$L$96*$D$96,0))+(IF($L$97&gt;0,$L$97*$D$97,0))+(IF($L$98&gt;0,$L$98*$D$98,0))+(IF($M$95&gt;0,$M$95*$D$95,0))+(IF($M$96&gt;0,$M$96*$D$96,0))+(IF($M$97&gt;0,$M$97*$D$97,0))+(IF($M$98&gt;0,$M$98*$D$98,0)))*$M$19</f>
        <v>0</v>
      </c>
      <c r="M77" s="637">
        <f>(($I$56*$D$77)+(IF($L$60&lt;0,$I$60*$F$77))+($I$57*$E$77)+($I$67*$G$77)+($I$68*$F$77)+(($D$83+$E$83)*$C$83)+($J$83*$H$83)+($J$84*$H$84)+(($I$87+$J$87)*$C$87)+(($I$88+$J$88)*$C$88)+(($I$89+$J$89)*$C$89)+(IF($L$95&lt;=0,$G$95*$D$95,0))+(IF($L$96&lt;=0,$G$96*$D$96,0))+(IF($L$97&lt;=0,$G$97*$D$97,0))+(IF($L$98&lt;=0,$G$98*$D$98,0))+(IF($M$95&lt;=0,$I$95*$D$95,0))+(IF($M$96&lt;=0,$I$96*$D$96,0))+(IF($M$97&lt;=0,$I$97*$D$97,0))+(IF($M$98&lt;=0,$I$98*$D$98,0)))*$M$19</f>
        <v>0</v>
      </c>
      <c r="N77" s="273" t="s">
        <v>1256</v>
      </c>
      <c r="P77" s="649" t="s">
        <v>1045</v>
      </c>
      <c r="Q77" s="650">
        <f>IF(OR($D$22="",$D$22="No",$F$22=""),0,$E$22-((1/4)*$G$22*(($H$22^2)+(2*$H$22*$F$22)+(3*($F$22^2)))/(($H$22^2)+($H$22*$F$22)+($F$22^2))))</f>
        <v>0</v>
      </c>
      <c r="R77" s="2"/>
      <c r="S77" s="621" t="s">
        <v>991</v>
      </c>
      <c r="T77" s="348" t="str">
        <f>IF($T$76="","",ABS(($U$42-$U$43)*$F$22/$M$19))</f>
        <v/>
      </c>
      <c r="U77" s="349" t="s">
        <v>625</v>
      </c>
      <c r="W77" s="317"/>
      <c r="X77" s="623" t="s">
        <v>997</v>
      </c>
      <c r="Y77" s="348">
        <f>($H$22/2)*ABS(COS($B$25*PI()/180))</f>
        <v>0</v>
      </c>
      <c r="Z77" s="315" t="s">
        <v>4</v>
      </c>
      <c r="AA77" s="624" t="s">
        <v>1000</v>
      </c>
      <c r="AB77" s="336">
        <f>IF(OR($D$22="",$D$22="No"),0,PI()*$Y$76*$Y$77)</f>
        <v>0</v>
      </c>
      <c r="AC77" s="315" t="s">
        <v>625</v>
      </c>
      <c r="AD77" s="39"/>
      <c r="AE77" s="349"/>
      <c r="AF77" s="2"/>
      <c r="AI77" s="364">
        <v>32</v>
      </c>
      <c r="AJ77" s="330">
        <f t="shared" si="39"/>
        <v>0</v>
      </c>
      <c r="AK77" s="344" t="str">
        <f t="shared" si="20"/>
        <v>None</v>
      </c>
      <c r="AL77" s="330">
        <f t="shared" si="55"/>
        <v>0</v>
      </c>
      <c r="AM77" s="336">
        <f t="shared" si="51"/>
        <v>0</v>
      </c>
      <c r="AN77" s="330">
        <f t="shared" si="40"/>
        <v>0</v>
      </c>
      <c r="AO77" s="437">
        <f t="shared" si="52"/>
        <v>0</v>
      </c>
      <c r="AP77" s="348" t="b">
        <f t="shared" si="53"/>
        <v>0</v>
      </c>
      <c r="AQ77" s="348">
        <f t="shared" si="21"/>
        <v>0</v>
      </c>
      <c r="AR77" s="348">
        <f t="shared" si="22"/>
        <v>0</v>
      </c>
      <c r="AS77" s="348">
        <f t="shared" si="41"/>
        <v>0</v>
      </c>
      <c r="AT77" s="348" t="str">
        <f t="shared" si="42"/>
        <v/>
      </c>
      <c r="AU77" s="348" t="str">
        <f t="shared" si="43"/>
        <v/>
      </c>
      <c r="AV77" s="348">
        <f t="shared" si="44"/>
        <v>0</v>
      </c>
      <c r="AW77" s="348">
        <f t="shared" si="23"/>
        <v>0</v>
      </c>
      <c r="AX77" s="348">
        <f t="shared" si="24"/>
        <v>0</v>
      </c>
      <c r="AY77" s="330">
        <f t="shared" si="25"/>
        <v>0</v>
      </c>
      <c r="AZ77" s="330">
        <f t="shared" si="26"/>
        <v>0</v>
      </c>
      <c r="BA77" s="330">
        <f t="shared" si="27"/>
        <v>0</v>
      </c>
      <c r="BB77" s="330">
        <f t="shared" si="28"/>
        <v>0</v>
      </c>
      <c r="BC77" s="330">
        <f t="shared" si="29"/>
        <v>0</v>
      </c>
      <c r="BD77" s="330">
        <f t="shared" si="30"/>
        <v>0</v>
      </c>
      <c r="BE77" s="330">
        <f t="shared" si="45"/>
        <v>0</v>
      </c>
      <c r="BF77" s="330">
        <f t="shared" si="46"/>
        <v>0</v>
      </c>
      <c r="BG77" s="330">
        <f t="shared" si="31"/>
        <v>0</v>
      </c>
      <c r="BH77" s="330" t="str">
        <f t="shared" si="32"/>
        <v/>
      </c>
      <c r="BI77" s="330" t="str">
        <f t="shared" si="47"/>
        <v/>
      </c>
      <c r="BJ77" s="330" t="str">
        <f t="shared" si="48"/>
        <v/>
      </c>
      <c r="BK77" s="330" t="str">
        <f t="shared" si="33"/>
        <v/>
      </c>
      <c r="BL77" s="330" t="str">
        <f t="shared" si="34"/>
        <v/>
      </c>
      <c r="BM77" s="330" t="str">
        <f t="shared" si="49"/>
        <v/>
      </c>
      <c r="BN77" s="330" t="str">
        <f t="shared" si="54"/>
        <v/>
      </c>
      <c r="BO77" s="330">
        <f t="shared" si="35"/>
        <v>0</v>
      </c>
      <c r="BP77" s="330">
        <f t="shared" si="36"/>
        <v>0</v>
      </c>
      <c r="BQ77" s="330">
        <f t="shared" si="37"/>
        <v>0</v>
      </c>
      <c r="BR77" s="330" t="str">
        <f t="shared" si="38"/>
        <v/>
      </c>
      <c r="BS77" s="432" t="str">
        <f t="shared" si="50"/>
        <v/>
      </c>
    </row>
    <row r="78" spans="1:71" s="189" customFormat="1" ht="17.45" customHeight="1" thickTop="1" thickBot="1">
      <c r="A78" s="677" t="s">
        <v>1254</v>
      </c>
      <c r="B78" s="657"/>
      <c r="C78" s="657"/>
      <c r="D78" s="1022" t="s">
        <v>1255</v>
      </c>
      <c r="E78" s="1022"/>
      <c r="F78" s="797" t="str">
        <f>IF(OR($F$25="",$G$25="",$D$22=""),"",IF(AND($T$11&lt;$T$12,$AY$45&gt;0),$L$74,IF(AND($T$11&gt;$T$12,$AY$245&gt;0),$L$74,IF(AND($AY$45&gt;0,$AY$245&gt;0),$L$74,IF(AND($AY$45=0,$AY$245=0),$L$74,"Stem Tip")))))</f>
        <v/>
      </c>
      <c r="G78" s="677"/>
      <c r="H78" s="527" t="s">
        <v>892</v>
      </c>
      <c r="I78" s="528">
        <f>IF(OR($E$22="",$F$22="",$F$25="",$G$25=""),0,IF(OR($A$6="",$F$25="",$G$25=""),"",$I$77/$I$76))</f>
        <v>0</v>
      </c>
      <c r="J78" s="819">
        <f>$I$78-$L$80</f>
        <v>-2</v>
      </c>
      <c r="K78" s="646" t="str">
        <f>IF(AND($F$25="",$G$25=""),"",IF($I$78&gt;=$L$80,"Structure is Stable with respect to Moment Forces",($I$76*$L$80)-$I$77))</f>
        <v/>
      </c>
      <c r="L78" s="638">
        <f>(($I$54*($E$22-$A$77))+($I$55*($E$22-$B$77))+($I$66*($E$22-$C$77))+(IF($L$95&gt;0,$L$95*($E$22-$D$95),0))+(IF($L$96&gt;0,$L$96*($E$22-$D$96),0))+(IF($L$97&gt;0,$L$97*($E$22-$D$97),0))+(IF($L$98&gt;0,$L$98*($E$22-$D$98),0))+(IF($M$95&gt;0,$M$95*($E$22-$D$95),0))+(IF($M$96&gt;0,$M$96*($E$22-$D$96),0))+(IF($M$97&gt;0,$M$97*($E$22-$D$97),0))+(IF($M$98&gt;0,$M$98*($E$22-$D$98),0)))*$M$19</f>
        <v>0</v>
      </c>
      <c r="M78" s="635">
        <f>(($I$56*($E$22-$D$77))+(IF($L$60&lt;0,$I$60*($E$22-$F$77)))+($I$57*($E$22-$E$77))+($I$67*($E$22-$G$77))+($I$68*($E$22-$F$77))+(($D$83+$E$83)*($E$22-$C$83))+($J$83*($E$22-$H$83))+($J$84*($E$22-$H$84))+(($I$87+$J$87)*($E$22-$C$87))+(($I$88+$J$88)*($E$22-$C$88))+(($I$89+$J$89)*($E$22-$C$89))+(IF($L$95&lt;=0,$G$95*($E$22-$D$95),0))+(IF($L$96&lt;=0,$G$96*($E$22-$D$96),0))+(IF($L$97&lt;=0,$G$97*($E$22-$D$97),0))+(IF($L$98&lt;=0,$G$98*($E$22-$D$98),0))+(IF($M$95&lt;=0,$I$95*($E$22-$D$95),0))+(IF($M$96&lt;=0,$I$96*($E$22-$D$96),0))+(IF($M$97&lt;=0,$I$97*($E$22-$D$97),0))+(IF($M$98&lt;=0,$I$98*($E$22-$D$98),0)))*$M$19</f>
        <v>0</v>
      </c>
      <c r="N78" s="273" t="s">
        <v>1257</v>
      </c>
      <c r="P78" s="649" t="s">
        <v>1046</v>
      </c>
      <c r="Q78" s="650">
        <f>(($E$22-$G$22)/2)</f>
        <v>0</v>
      </c>
      <c r="R78" s="2"/>
      <c r="S78" s="621" t="s">
        <v>992</v>
      </c>
      <c r="T78" s="348" t="str">
        <f>IF($T$86="","",IF($T$86="Submerged",0,IF($T$88="Dry",$T$77,IF(AND($AC$86="Dry",$T$86="Partial"),ABS(($U$43-$W$87)*$F$22/$M$19),IF(AND($AC$86="Partial",$AC$87="Partial"),(ABS($U$39-$U$38))*(($AF$86+$AF$87)/2),IF($AC$86="Partial",(ABS($U$39-$W$86))*$AF$86/2,(($U$41-$W$88)*$F$22)+(ABS($W$88-$U$40))*($AF$87+$F$22)/2))))))</f>
        <v/>
      </c>
      <c r="U78" s="349" t="s">
        <v>625</v>
      </c>
      <c r="W78" s="317"/>
      <c r="X78" s="623" t="s">
        <v>998</v>
      </c>
      <c r="Y78" s="336" t="str">
        <f>IF(OR($D$22="",$F$22=""),"",IF($AE$8&gt;=$U$10,$Y$76,$Y$76-($U$10-$AE$8)))</f>
        <v/>
      </c>
      <c r="Z78" s="315" t="s">
        <v>4</v>
      </c>
      <c r="AA78" s="624" t="s">
        <v>1001</v>
      </c>
      <c r="AB78" s="336">
        <f>IF($D$22="No",0,IF($U$15&gt;$AE$8,$AB$77,IF($U$10&lt;$AE$8,0,IF($D$22="",0,$AB$77-(($Y$76*$Y$77*((PI()/2)+ASIN($Y$78/$Y$76)))+($Y$77*$Y$78*(SQRT(($Y$76^2)-($Y$78^2))/$Y$76)))))))</f>
        <v>0</v>
      </c>
      <c r="AC78" s="315" t="s">
        <v>625</v>
      </c>
      <c r="AD78" s="134"/>
      <c r="AE78" s="349"/>
      <c r="AI78" s="364">
        <v>33</v>
      </c>
      <c r="AJ78" s="330">
        <f t="shared" si="39"/>
        <v>0</v>
      </c>
      <c r="AK78" s="344" t="str">
        <f t="shared" si="20"/>
        <v>None</v>
      </c>
      <c r="AL78" s="330">
        <f t="shared" ref="AL78:AL109" si="58">$AL$45+ABS(AJ78*$M$19*$M$17)</f>
        <v>0</v>
      </c>
      <c r="AM78" s="336">
        <f t="shared" si="51"/>
        <v>0</v>
      </c>
      <c r="AN78" s="330">
        <f t="shared" ref="AN78:AN109" si="59">$AN$45+ABS(AJ78*$M$19*$M$17)</f>
        <v>0</v>
      </c>
      <c r="AO78" s="437">
        <f t="shared" si="52"/>
        <v>0</v>
      </c>
      <c r="AP78" s="348" t="b">
        <f t="shared" si="53"/>
        <v>0</v>
      </c>
      <c r="AQ78" s="348">
        <f t="shared" si="21"/>
        <v>0</v>
      </c>
      <c r="AR78" s="348">
        <f t="shared" si="22"/>
        <v>0</v>
      </c>
      <c r="AS78" s="348">
        <f t="shared" si="41"/>
        <v>0</v>
      </c>
      <c r="AT78" s="348" t="str">
        <f t="shared" si="42"/>
        <v/>
      </c>
      <c r="AU78" s="348" t="str">
        <f t="shared" si="43"/>
        <v/>
      </c>
      <c r="AV78" s="348">
        <f t="shared" si="44"/>
        <v>0</v>
      </c>
      <c r="AW78" s="348">
        <f t="shared" si="23"/>
        <v>0</v>
      </c>
      <c r="AX78" s="348">
        <f t="shared" si="24"/>
        <v>0</v>
      </c>
      <c r="AY78" s="330">
        <f t="shared" si="25"/>
        <v>0</v>
      </c>
      <c r="AZ78" s="330">
        <f t="shared" si="26"/>
        <v>0</v>
      </c>
      <c r="BA78" s="330">
        <f t="shared" si="27"/>
        <v>0</v>
      </c>
      <c r="BB78" s="330">
        <f t="shared" si="28"/>
        <v>0</v>
      </c>
      <c r="BC78" s="330">
        <f t="shared" si="29"/>
        <v>0</v>
      </c>
      <c r="BD78" s="330">
        <f t="shared" si="30"/>
        <v>0</v>
      </c>
      <c r="BE78" s="330">
        <f t="shared" si="45"/>
        <v>0</v>
      </c>
      <c r="BF78" s="330">
        <f t="shared" si="46"/>
        <v>0</v>
      </c>
      <c r="BG78" s="330">
        <f t="shared" si="31"/>
        <v>0</v>
      </c>
      <c r="BH78" s="330" t="str">
        <f t="shared" si="32"/>
        <v/>
      </c>
      <c r="BI78" s="330" t="str">
        <f t="shared" si="47"/>
        <v/>
      </c>
      <c r="BJ78" s="330" t="str">
        <f t="shared" si="48"/>
        <v/>
      </c>
      <c r="BK78" s="330" t="str">
        <f t="shared" si="33"/>
        <v/>
      </c>
      <c r="BL78" s="330" t="str">
        <f t="shared" si="34"/>
        <v/>
      </c>
      <c r="BM78" s="330" t="str">
        <f t="shared" si="49"/>
        <v/>
      </c>
      <c r="BN78" s="330" t="str">
        <f t="shared" si="54"/>
        <v/>
      </c>
      <c r="BO78" s="330">
        <f t="shared" si="35"/>
        <v>0</v>
      </c>
      <c r="BP78" s="330">
        <f t="shared" si="36"/>
        <v>0</v>
      </c>
      <c r="BQ78" s="330">
        <f t="shared" si="37"/>
        <v>0</v>
      </c>
      <c r="BR78" s="330" t="str">
        <f t="shared" si="38"/>
        <v/>
      </c>
      <c r="BS78" s="432" t="str">
        <f t="shared" si="50"/>
        <v/>
      </c>
    </row>
    <row r="79" spans="1:71" s="189" customFormat="1" ht="16.5" thickBot="1">
      <c r="A79" s="677"/>
      <c r="B79" s="677"/>
      <c r="C79" s="677"/>
      <c r="D79" s="677"/>
      <c r="E79" s="677"/>
      <c r="F79" s="696"/>
      <c r="G79" s="677"/>
      <c r="H79" s="677"/>
      <c r="I79" s="695"/>
      <c r="J79" s="695"/>
      <c r="K79" s="147"/>
      <c r="L79" s="276" t="s">
        <v>762</v>
      </c>
      <c r="P79" s="651" t="s">
        <v>1047</v>
      </c>
      <c r="Q79" s="652">
        <f>IF(OR($D$22="",$D$22="No",$F$22=""),$Q$78,((((($B$53+$B$52)*$I$22)+($B$54*$J$22))*$Q$78)+(((($C$53+$C$52)*$I$22)+($C$54*$J$22))*$Q$77))/$E$55)</f>
        <v>0</v>
      </c>
      <c r="R79" s="2"/>
      <c r="S79" s="621" t="s">
        <v>993</v>
      </c>
      <c r="T79" s="348">
        <f>$BE$43</f>
        <v>0</v>
      </c>
      <c r="U79" s="349" t="s">
        <v>625</v>
      </c>
      <c r="W79" s="317"/>
      <c r="X79" s="623" t="s">
        <v>999</v>
      </c>
      <c r="Y79" s="348" t="str">
        <f>IF(OR($D$22="",$F$22=""),"",IF($U$15&gt;=$C$16,$Y$76,$Y$76-($C$16-$U$15)))</f>
        <v/>
      </c>
      <c r="Z79" s="315" t="s">
        <v>4</v>
      </c>
      <c r="AA79" s="624" t="s">
        <v>1002</v>
      </c>
      <c r="AB79" s="336">
        <f>IF($D$22="No",0,IF($U$10&lt;$C$16,$AB$77,IF($U$15&gt;$C$16,0,IF($D$22="",0,$AB$77-(($Y$76*$Y$77*((PI()/2)+ASIN($Y$79/$Y$76)))+($Y$77*$Y$79*(SQRT(($Y$76^2)-($Y$79^2))/$Y$76)))))))</f>
        <v>0</v>
      </c>
      <c r="AC79" s="315" t="s">
        <v>625</v>
      </c>
      <c r="AD79" s="39"/>
      <c r="AE79" s="349"/>
      <c r="AI79" s="364">
        <v>34</v>
      </c>
      <c r="AJ79" s="330">
        <f t="shared" si="39"/>
        <v>0</v>
      </c>
      <c r="AK79" s="344" t="str">
        <f t="shared" si="20"/>
        <v>None</v>
      </c>
      <c r="AL79" s="330">
        <f t="shared" si="58"/>
        <v>0</v>
      </c>
      <c r="AM79" s="336">
        <f t="shared" si="51"/>
        <v>0</v>
      </c>
      <c r="AN79" s="330">
        <f t="shared" si="59"/>
        <v>0</v>
      </c>
      <c r="AO79" s="437">
        <f t="shared" si="52"/>
        <v>0</v>
      </c>
      <c r="AP79" s="348" t="b">
        <f t="shared" si="53"/>
        <v>0</v>
      </c>
      <c r="AQ79" s="348">
        <f t="shared" si="21"/>
        <v>0</v>
      </c>
      <c r="AR79" s="348">
        <f t="shared" si="22"/>
        <v>0</v>
      </c>
      <c r="AS79" s="348">
        <f t="shared" si="41"/>
        <v>0</v>
      </c>
      <c r="AT79" s="348" t="str">
        <f t="shared" si="42"/>
        <v/>
      </c>
      <c r="AU79" s="348" t="str">
        <f t="shared" si="43"/>
        <v/>
      </c>
      <c r="AV79" s="348">
        <f t="shared" si="44"/>
        <v>0</v>
      </c>
      <c r="AW79" s="348">
        <f t="shared" si="23"/>
        <v>0</v>
      </c>
      <c r="AX79" s="348">
        <f t="shared" si="24"/>
        <v>0</v>
      </c>
      <c r="AY79" s="330">
        <f t="shared" si="25"/>
        <v>0</v>
      </c>
      <c r="AZ79" s="330">
        <f t="shared" si="26"/>
        <v>0</v>
      </c>
      <c r="BA79" s="330">
        <f t="shared" si="27"/>
        <v>0</v>
      </c>
      <c r="BB79" s="330">
        <f t="shared" si="28"/>
        <v>0</v>
      </c>
      <c r="BC79" s="330">
        <f t="shared" si="29"/>
        <v>0</v>
      </c>
      <c r="BD79" s="330">
        <f t="shared" si="30"/>
        <v>0</v>
      </c>
      <c r="BE79" s="330">
        <f t="shared" si="45"/>
        <v>0</v>
      </c>
      <c r="BF79" s="330">
        <f t="shared" si="46"/>
        <v>0</v>
      </c>
      <c r="BG79" s="330">
        <f t="shared" si="31"/>
        <v>0</v>
      </c>
      <c r="BH79" s="330" t="str">
        <f t="shared" si="32"/>
        <v/>
      </c>
      <c r="BI79" s="330" t="str">
        <f t="shared" si="47"/>
        <v/>
      </c>
      <c r="BJ79" s="330" t="str">
        <f t="shared" si="48"/>
        <v/>
      </c>
      <c r="BK79" s="330" t="str">
        <f t="shared" si="33"/>
        <v/>
      </c>
      <c r="BL79" s="330" t="str">
        <f t="shared" si="34"/>
        <v/>
      </c>
      <c r="BM79" s="330" t="str">
        <f t="shared" si="49"/>
        <v/>
      </c>
      <c r="BN79" s="330" t="str">
        <f t="shared" si="54"/>
        <v/>
      </c>
      <c r="BO79" s="330">
        <f t="shared" si="35"/>
        <v>0</v>
      </c>
      <c r="BP79" s="330">
        <f t="shared" si="36"/>
        <v>0</v>
      </c>
      <c r="BQ79" s="330">
        <f t="shared" si="37"/>
        <v>0</v>
      </c>
      <c r="BR79" s="330" t="str">
        <f t="shared" si="38"/>
        <v/>
      </c>
      <c r="BS79" s="432" t="str">
        <f t="shared" si="50"/>
        <v/>
      </c>
    </row>
    <row r="80" spans="1:71" s="189" customFormat="1" ht="18.75" thickBot="1">
      <c r="A80" s="968" t="s">
        <v>953</v>
      </c>
      <c r="B80" s="968"/>
      <c r="C80" s="968"/>
      <c r="D80" s="968"/>
      <c r="E80" s="968"/>
      <c r="F80" s="968"/>
      <c r="G80" s="968"/>
      <c r="H80" s="968"/>
      <c r="I80" s="968"/>
      <c r="J80" s="968"/>
      <c r="K80" s="147"/>
      <c r="L80" s="526">
        <f>'2-Constants'!$C$7</f>
        <v>2</v>
      </c>
      <c r="N80" s="799"/>
      <c r="R80" s="2"/>
      <c r="S80" s="621" t="s">
        <v>994</v>
      </c>
      <c r="T80" s="348">
        <f>-$BG$43</f>
        <v>0</v>
      </c>
      <c r="U80" s="349" t="s">
        <v>712</v>
      </c>
      <c r="W80" s="337"/>
      <c r="X80" s="350"/>
      <c r="Y80" s="338"/>
      <c r="Z80" s="338"/>
      <c r="AA80" s="625" t="s">
        <v>1003</v>
      </c>
      <c r="AB80" s="351">
        <f>IF($D$22="",0,$AB$77-$AB$78-$AB$79)</f>
        <v>0</v>
      </c>
      <c r="AC80" s="352" t="s">
        <v>625</v>
      </c>
      <c r="AD80" s="353"/>
      <c r="AE80" s="340"/>
      <c r="AI80" s="364">
        <v>35</v>
      </c>
      <c r="AJ80" s="330">
        <f t="shared" si="39"/>
        <v>0</v>
      </c>
      <c r="AK80" s="344" t="str">
        <f t="shared" si="20"/>
        <v>None</v>
      </c>
      <c r="AL80" s="330">
        <f t="shared" si="58"/>
        <v>0</v>
      </c>
      <c r="AM80" s="336">
        <f t="shared" si="51"/>
        <v>0</v>
      </c>
      <c r="AN80" s="330">
        <f t="shared" si="59"/>
        <v>0</v>
      </c>
      <c r="AO80" s="437">
        <f t="shared" si="52"/>
        <v>0</v>
      </c>
      <c r="AP80" s="348" t="b">
        <f t="shared" si="53"/>
        <v>0</v>
      </c>
      <c r="AQ80" s="348">
        <f t="shared" si="21"/>
        <v>0</v>
      </c>
      <c r="AR80" s="348">
        <f t="shared" si="22"/>
        <v>0</v>
      </c>
      <c r="AS80" s="348">
        <f t="shared" si="41"/>
        <v>0</v>
      </c>
      <c r="AT80" s="348" t="str">
        <f t="shared" si="42"/>
        <v/>
      </c>
      <c r="AU80" s="348" t="str">
        <f t="shared" si="43"/>
        <v/>
      </c>
      <c r="AV80" s="348">
        <f t="shared" si="44"/>
        <v>0</v>
      </c>
      <c r="AW80" s="348">
        <f t="shared" si="23"/>
        <v>0</v>
      </c>
      <c r="AX80" s="348">
        <f t="shared" si="24"/>
        <v>0</v>
      </c>
      <c r="AY80" s="330">
        <f t="shared" si="25"/>
        <v>0</v>
      </c>
      <c r="AZ80" s="330">
        <f t="shared" si="26"/>
        <v>0</v>
      </c>
      <c r="BA80" s="330">
        <f t="shared" si="27"/>
        <v>0</v>
      </c>
      <c r="BB80" s="330">
        <f t="shared" si="28"/>
        <v>0</v>
      </c>
      <c r="BC80" s="330">
        <f t="shared" si="29"/>
        <v>0</v>
      </c>
      <c r="BD80" s="330">
        <f t="shared" si="30"/>
        <v>0</v>
      </c>
      <c r="BE80" s="330">
        <f t="shared" si="45"/>
        <v>0</v>
      </c>
      <c r="BF80" s="330">
        <f t="shared" si="46"/>
        <v>0</v>
      </c>
      <c r="BG80" s="330">
        <f t="shared" si="31"/>
        <v>0</v>
      </c>
      <c r="BH80" s="330" t="str">
        <f t="shared" si="32"/>
        <v/>
      </c>
      <c r="BI80" s="330" t="str">
        <f t="shared" si="47"/>
        <v/>
      </c>
      <c r="BJ80" s="330" t="str">
        <f t="shared" si="48"/>
        <v/>
      </c>
      <c r="BK80" s="330" t="str">
        <f t="shared" si="33"/>
        <v/>
      </c>
      <c r="BL80" s="330" t="str">
        <f t="shared" si="34"/>
        <v/>
      </c>
      <c r="BM80" s="330" t="str">
        <f t="shared" si="49"/>
        <v/>
      </c>
      <c r="BN80" s="330" t="str">
        <f t="shared" si="54"/>
        <v/>
      </c>
      <c r="BO80" s="330">
        <f t="shared" si="35"/>
        <v>0</v>
      </c>
      <c r="BP80" s="330">
        <f t="shared" si="36"/>
        <v>0</v>
      </c>
      <c r="BQ80" s="330">
        <f t="shared" si="37"/>
        <v>0</v>
      </c>
      <c r="BR80" s="330" t="str">
        <f t="shared" si="38"/>
        <v/>
      </c>
      <c r="BS80" s="432" t="str">
        <f t="shared" si="50"/>
        <v/>
      </c>
    </row>
    <row r="81" spans="1:71" s="189" customFormat="1" ht="17.45" customHeight="1" thickBot="1">
      <c r="A81" s="865" t="s">
        <v>967</v>
      </c>
      <c r="B81" s="1019"/>
      <c r="C81" s="827"/>
      <c r="D81" s="827"/>
      <c r="E81" s="827"/>
      <c r="F81" s="698"/>
      <c r="G81" s="677"/>
      <c r="H81" s="865" t="s">
        <v>893</v>
      </c>
      <c r="I81" s="936"/>
      <c r="J81" s="936"/>
      <c r="K81" s="421" t="str">
        <f>IF(OR($H$83&lt;&gt;"",$H$84&lt;&gt;"",$C$87&lt;&gt;"",$C$88&lt;&gt;"",$C$89&lt;&gt;""),"CHECK--Verify anchors are correctly located on X-Sect (above)","")</f>
        <v/>
      </c>
      <c r="L81" s="276" t="s">
        <v>762</v>
      </c>
      <c r="M81" s="477"/>
      <c r="O81" s="787"/>
      <c r="P81" s="623" t="s">
        <v>1244</v>
      </c>
      <c r="Q81" s="276" t="s">
        <v>17</v>
      </c>
      <c r="R81" s="2"/>
      <c r="S81" s="622" t="s">
        <v>995</v>
      </c>
      <c r="T81" s="355" t="str">
        <f>IF($D$22="","",IF($T$88="Dry",0,$T$77-$T$78-$T$79-$T$80))</f>
        <v/>
      </c>
      <c r="U81" s="356" t="s">
        <v>625</v>
      </c>
      <c r="W81" s="2"/>
      <c r="X81" s="2"/>
      <c r="Y81" s="2"/>
      <c r="Z81" s="2"/>
      <c r="AA81" s="2"/>
      <c r="AB81" s="2"/>
      <c r="AC81" s="2"/>
      <c r="AD81" s="2"/>
      <c r="AE81" s="2"/>
      <c r="AI81" s="364">
        <v>36</v>
      </c>
      <c r="AJ81" s="330">
        <f t="shared" si="39"/>
        <v>0</v>
      </c>
      <c r="AK81" s="344" t="str">
        <f t="shared" si="20"/>
        <v>None</v>
      </c>
      <c r="AL81" s="330">
        <f t="shared" si="58"/>
        <v>0</v>
      </c>
      <c r="AM81" s="336">
        <f t="shared" si="51"/>
        <v>0</v>
      </c>
      <c r="AN81" s="330">
        <f t="shared" si="59"/>
        <v>0</v>
      </c>
      <c r="AO81" s="437">
        <f t="shared" si="52"/>
        <v>0</v>
      </c>
      <c r="AP81" s="348" t="b">
        <f t="shared" si="53"/>
        <v>0</v>
      </c>
      <c r="AQ81" s="348">
        <f t="shared" si="21"/>
        <v>0</v>
      </c>
      <c r="AR81" s="348">
        <f t="shared" si="22"/>
        <v>0</v>
      </c>
      <c r="AS81" s="348">
        <f t="shared" si="41"/>
        <v>0</v>
      </c>
      <c r="AT81" s="348" t="str">
        <f t="shared" si="42"/>
        <v/>
      </c>
      <c r="AU81" s="348" t="str">
        <f t="shared" si="43"/>
        <v/>
      </c>
      <c r="AV81" s="348">
        <f t="shared" si="44"/>
        <v>0</v>
      </c>
      <c r="AW81" s="348">
        <f t="shared" si="23"/>
        <v>0</v>
      </c>
      <c r="AX81" s="348">
        <f t="shared" si="24"/>
        <v>0</v>
      </c>
      <c r="AY81" s="330">
        <f t="shared" si="25"/>
        <v>0</v>
      </c>
      <c r="AZ81" s="330">
        <f t="shared" si="26"/>
        <v>0</v>
      </c>
      <c r="BA81" s="330">
        <f t="shared" si="27"/>
        <v>0</v>
      </c>
      <c r="BB81" s="330">
        <f t="shared" si="28"/>
        <v>0</v>
      </c>
      <c r="BC81" s="330">
        <f t="shared" si="29"/>
        <v>0</v>
      </c>
      <c r="BD81" s="330">
        <f t="shared" si="30"/>
        <v>0</v>
      </c>
      <c r="BE81" s="330">
        <f t="shared" si="45"/>
        <v>0</v>
      </c>
      <c r="BF81" s="330">
        <f t="shared" si="46"/>
        <v>0</v>
      </c>
      <c r="BG81" s="330">
        <f t="shared" si="31"/>
        <v>0</v>
      </c>
      <c r="BH81" s="330" t="str">
        <f t="shared" si="32"/>
        <v/>
      </c>
      <c r="BI81" s="330" t="str">
        <f t="shared" si="47"/>
        <v/>
      </c>
      <c r="BJ81" s="330" t="str">
        <f t="shared" si="48"/>
        <v/>
      </c>
      <c r="BK81" s="330" t="str">
        <f t="shared" si="33"/>
        <v/>
      </c>
      <c r="BL81" s="330" t="str">
        <f t="shared" si="34"/>
        <v/>
      </c>
      <c r="BM81" s="330" t="str">
        <f t="shared" si="49"/>
        <v/>
      </c>
      <c r="BN81" s="330" t="str">
        <f t="shared" si="54"/>
        <v/>
      </c>
      <c r="BO81" s="330">
        <f t="shared" si="35"/>
        <v>0</v>
      </c>
      <c r="BP81" s="330">
        <f t="shared" si="36"/>
        <v>0</v>
      </c>
      <c r="BQ81" s="330">
        <f t="shared" si="37"/>
        <v>0</v>
      </c>
      <c r="BR81" s="330" t="str">
        <f t="shared" si="38"/>
        <v/>
      </c>
      <c r="BS81" s="432" t="str">
        <f t="shared" si="50"/>
        <v/>
      </c>
    </row>
    <row r="82" spans="1:71" s="189" customFormat="1" ht="15.75" thickBot="1">
      <c r="A82" s="597" t="s">
        <v>958</v>
      </c>
      <c r="B82" s="560" t="s">
        <v>959</v>
      </c>
      <c r="C82" s="560" t="s">
        <v>956</v>
      </c>
      <c r="D82" s="263" t="s">
        <v>957</v>
      </c>
      <c r="E82" s="473" t="s">
        <v>964</v>
      </c>
      <c r="F82" s="677"/>
      <c r="G82" s="537" t="s">
        <v>33</v>
      </c>
      <c r="H82" s="560" t="s">
        <v>955</v>
      </c>
      <c r="I82" s="643" t="s">
        <v>325</v>
      </c>
      <c r="J82" s="552" t="s">
        <v>962</v>
      </c>
      <c r="K82" s="598" t="s">
        <v>1014</v>
      </c>
      <c r="L82" s="636">
        <f>IF($D$83="",0,-$D$83)</f>
        <v>0</v>
      </c>
      <c r="M82" s="637">
        <f>IF($E$83="",0,-$E$83)</f>
        <v>0</v>
      </c>
      <c r="O82" s="786" t="s">
        <v>1245</v>
      </c>
      <c r="P82" s="789">
        <f>$J$83+$J$84+(IF($A$87="Deadman",$F$87-$G$87,0))+(IF($A$88="Deadman",$F$88-$G$88,0))+(IF($A$89="Deadman",$F$89-$G$89,0))</f>
        <v>0</v>
      </c>
      <c r="Q82" s="790">
        <f>(IF($J$83&gt;0,1,0))+(IF($J$84&gt;0,1,0))+(IF(AND($I$87&gt;0,$A$87="Deadman"),1,0))+(IF(AND($I$88&gt;0,$A$88="Deadman"),1,0))+(IF(AND($I$89&gt;0,$A$89="Deadman"),1,0))</f>
        <v>0</v>
      </c>
      <c r="R82" s="799"/>
      <c r="S82" s="21"/>
      <c r="T82" s="2"/>
      <c r="AI82" s="364">
        <v>37</v>
      </c>
      <c r="AJ82" s="330">
        <f t="shared" si="39"/>
        <v>0</v>
      </c>
      <c r="AK82" s="344" t="str">
        <f t="shared" si="20"/>
        <v>None</v>
      </c>
      <c r="AL82" s="330">
        <f t="shared" si="58"/>
        <v>0</v>
      </c>
      <c r="AM82" s="336">
        <f t="shared" si="51"/>
        <v>0</v>
      </c>
      <c r="AN82" s="330">
        <f t="shared" si="59"/>
        <v>0</v>
      </c>
      <c r="AO82" s="437">
        <f t="shared" si="52"/>
        <v>0</v>
      </c>
      <c r="AP82" s="348" t="b">
        <f t="shared" si="53"/>
        <v>0</v>
      </c>
      <c r="AQ82" s="348">
        <f t="shared" si="21"/>
        <v>0</v>
      </c>
      <c r="AR82" s="348">
        <f t="shared" si="22"/>
        <v>0</v>
      </c>
      <c r="AS82" s="348">
        <f t="shared" si="41"/>
        <v>0</v>
      </c>
      <c r="AT82" s="348" t="str">
        <f t="shared" si="42"/>
        <v/>
      </c>
      <c r="AU82" s="348" t="str">
        <f t="shared" si="43"/>
        <v/>
      </c>
      <c r="AV82" s="348">
        <f t="shared" si="44"/>
        <v>0</v>
      </c>
      <c r="AW82" s="348">
        <f t="shared" si="23"/>
        <v>0</v>
      </c>
      <c r="AX82" s="348">
        <f t="shared" si="24"/>
        <v>0</v>
      </c>
      <c r="AY82" s="330">
        <f t="shared" si="25"/>
        <v>0</v>
      </c>
      <c r="AZ82" s="330">
        <f t="shared" si="26"/>
        <v>0</v>
      </c>
      <c r="BA82" s="330">
        <f t="shared" si="27"/>
        <v>0</v>
      </c>
      <c r="BB82" s="330">
        <f t="shared" si="28"/>
        <v>0</v>
      </c>
      <c r="BC82" s="330">
        <f t="shared" si="29"/>
        <v>0</v>
      </c>
      <c r="BD82" s="330">
        <f t="shared" si="30"/>
        <v>0</v>
      </c>
      <c r="BE82" s="330">
        <f t="shared" si="45"/>
        <v>0</v>
      </c>
      <c r="BF82" s="330">
        <f t="shared" si="46"/>
        <v>0</v>
      </c>
      <c r="BG82" s="330">
        <f t="shared" si="31"/>
        <v>0</v>
      </c>
      <c r="BH82" s="330" t="str">
        <f t="shared" si="32"/>
        <v/>
      </c>
      <c r="BI82" s="330" t="str">
        <f t="shared" si="47"/>
        <v/>
      </c>
      <c r="BJ82" s="330" t="str">
        <f t="shared" si="48"/>
        <v/>
      </c>
      <c r="BK82" s="330" t="str">
        <f t="shared" si="33"/>
        <v/>
      </c>
      <c r="BL82" s="330" t="str">
        <f t="shared" si="34"/>
        <v/>
      </c>
      <c r="BM82" s="330" t="str">
        <f t="shared" si="49"/>
        <v/>
      </c>
      <c r="BN82" s="330" t="str">
        <f t="shared" si="54"/>
        <v/>
      </c>
      <c r="BO82" s="330">
        <f t="shared" si="35"/>
        <v>0</v>
      </c>
      <c r="BP82" s="330">
        <f t="shared" si="36"/>
        <v>0</v>
      </c>
      <c r="BQ82" s="330">
        <f t="shared" si="37"/>
        <v>0</v>
      </c>
      <c r="BR82" s="330" t="str">
        <f t="shared" si="38"/>
        <v/>
      </c>
      <c r="BS82" s="432" t="str">
        <f t="shared" si="50"/>
        <v/>
      </c>
    </row>
    <row r="83" spans="1:71" s="189" customFormat="1" ht="13.5" thickBot="1">
      <c r="A83" s="243"/>
      <c r="B83" s="244"/>
      <c r="C83" s="606"/>
      <c r="D83" s="584">
        <f>IF(AND($A$83="",$B$83=""),0,($A$83*$D$28)+($B$83*$E$28))</f>
        <v>0</v>
      </c>
      <c r="E83" s="456">
        <f>IF($D$83=0,0,0.5*$B$71*$D$83)</f>
        <v>0</v>
      </c>
      <c r="F83" s="677"/>
      <c r="G83" s="641"/>
      <c r="H83" s="212"/>
      <c r="I83" s="644" t="str">
        <f>$W$100</f>
        <v/>
      </c>
      <c r="J83" s="508">
        <f>IF(OR($G83="",$H83=""),0,IF(AND($W100="Bed",$G$28=4),HLOOKUP($G$83,AnchorRatings,3,0),IF(AND($W100="Bed",$G$28=5),HLOOKUP($G$83,AnchorRatings,4,0),IF(AND($W100="Bed",$G$28=6),HLOOKUP($G$83,AnchorRatings,5,0),IF(AND($W100="Bed",$G$28=7),HLOOKUP($G$83,AnchorRatings,6,0),IF(AND($W100="Bank",$G$29=4),HLOOKUP($G$83,AnchorRatings,3,0),IF(AND($W100="Bank",$G$29=5),HLOOKUP($G$83,AnchorRatings,4,0),IF(AND($W100="Bank",$G$29=6),HLOOKUP($G$83,AnchorRatings,5,0),IF(AND($W100="Bank",$G$29=7),HLOOKUP($G$83,AnchorRatings,6,0))))))))))</f>
        <v>0</v>
      </c>
      <c r="K83" s="530">
        <f>$I$61</f>
        <v>0</v>
      </c>
      <c r="L83" s="545">
        <v>0</v>
      </c>
      <c r="M83" s="785">
        <f>(IF($A87="Behind",-$J87,0))</f>
        <v>0</v>
      </c>
      <c r="O83" s="786" t="s">
        <v>1246</v>
      </c>
      <c r="P83" s="569">
        <f>($L$54+$L$55+(IF($L$58&gt;0,$L$58,0)))*$L$61</f>
        <v>0</v>
      </c>
      <c r="Q83" s="791"/>
      <c r="R83" s="2"/>
      <c r="AI83" s="364">
        <v>38</v>
      </c>
      <c r="AJ83" s="330">
        <f t="shared" si="39"/>
        <v>0</v>
      </c>
      <c r="AK83" s="344" t="str">
        <f t="shared" si="20"/>
        <v>None</v>
      </c>
      <c r="AL83" s="330">
        <f t="shared" si="58"/>
        <v>0</v>
      </c>
      <c r="AM83" s="336">
        <f t="shared" si="51"/>
        <v>0</v>
      </c>
      <c r="AN83" s="330">
        <f t="shared" si="59"/>
        <v>0</v>
      </c>
      <c r="AO83" s="437">
        <f t="shared" si="52"/>
        <v>0</v>
      </c>
      <c r="AP83" s="348" t="b">
        <f t="shared" si="53"/>
        <v>0</v>
      </c>
      <c r="AQ83" s="348">
        <f t="shared" si="21"/>
        <v>0</v>
      </c>
      <c r="AR83" s="348">
        <f t="shared" si="22"/>
        <v>0</v>
      </c>
      <c r="AS83" s="348">
        <f t="shared" si="41"/>
        <v>0</v>
      </c>
      <c r="AT83" s="348" t="str">
        <f t="shared" si="42"/>
        <v/>
      </c>
      <c r="AU83" s="348" t="str">
        <f t="shared" si="43"/>
        <v/>
      </c>
      <c r="AV83" s="348">
        <f t="shared" si="44"/>
        <v>0</v>
      </c>
      <c r="AW83" s="348">
        <f t="shared" si="23"/>
        <v>0</v>
      </c>
      <c r="AX83" s="348">
        <f t="shared" si="24"/>
        <v>0</v>
      </c>
      <c r="AY83" s="330">
        <f t="shared" si="25"/>
        <v>0</v>
      </c>
      <c r="AZ83" s="330">
        <f t="shared" si="26"/>
        <v>0</v>
      </c>
      <c r="BA83" s="330">
        <f t="shared" si="27"/>
        <v>0</v>
      </c>
      <c r="BB83" s="330">
        <f t="shared" si="28"/>
        <v>0</v>
      </c>
      <c r="BC83" s="330">
        <f t="shared" si="29"/>
        <v>0</v>
      </c>
      <c r="BD83" s="330">
        <f t="shared" si="30"/>
        <v>0</v>
      </c>
      <c r="BE83" s="330">
        <f t="shared" si="45"/>
        <v>0</v>
      </c>
      <c r="BF83" s="330">
        <f t="shared" si="46"/>
        <v>0</v>
      </c>
      <c r="BG83" s="330">
        <f t="shared" si="31"/>
        <v>0</v>
      </c>
      <c r="BH83" s="330" t="str">
        <f t="shared" si="32"/>
        <v/>
      </c>
      <c r="BI83" s="330" t="str">
        <f t="shared" si="47"/>
        <v/>
      </c>
      <c r="BJ83" s="330" t="str">
        <f t="shared" si="48"/>
        <v/>
      </c>
      <c r="BK83" s="330" t="str">
        <f t="shared" si="33"/>
        <v/>
      </c>
      <c r="BL83" s="330" t="str">
        <f t="shared" si="34"/>
        <v/>
      </c>
      <c r="BM83" s="330" t="str">
        <f t="shared" si="49"/>
        <v/>
      </c>
      <c r="BN83" s="330" t="str">
        <f t="shared" si="54"/>
        <v/>
      </c>
      <c r="BO83" s="330">
        <f t="shared" si="35"/>
        <v>0</v>
      </c>
      <c r="BP83" s="330">
        <f t="shared" si="36"/>
        <v>0</v>
      </c>
      <c r="BQ83" s="330">
        <f t="shared" si="37"/>
        <v>0</v>
      </c>
      <c r="BR83" s="330" t="str">
        <f t="shared" si="38"/>
        <v/>
      </c>
      <c r="BS83" s="432" t="str">
        <f t="shared" si="50"/>
        <v/>
      </c>
    </row>
    <row r="84" spans="1:71" s="189" customFormat="1" ht="13.5" thickBot="1">
      <c r="A84" s="677"/>
      <c r="B84" s="677"/>
      <c r="C84" s="657"/>
      <c r="D84" s="699"/>
      <c r="E84" s="677"/>
      <c r="F84" s="677"/>
      <c r="G84" s="642"/>
      <c r="H84" s="214"/>
      <c r="I84" s="4" t="str">
        <f>$W$101</f>
        <v/>
      </c>
      <c r="J84" s="591">
        <f>IF(OR($G84="",$H84=""),0,IF(AND($W101="Bed",$G$28=4),HLOOKUP($G$84,AnchorRatings,3,0),IF(AND($W101="Bed",$G$28=5),HLOOKUP($G$84,AnchorRatings,4,0),IF(AND($W101="Bed",$G$28=6),HLOOKUP($G$84,AnchorRatings,5,0),IF(AND($W101="Bed",$G$28=7),HLOOKUP($G$84,AnchorRatings,6,0),IF(AND($W101="Bank",$G$29=4),HLOOKUP($G$84,AnchorRatings,3,0),IF(AND($W101="Bank",$G$29=5),HLOOKUP($G$84,AnchorRatings,4,0),IF(AND($W101="Bank",$G$29=6),HLOOKUP($G$84,AnchorRatings,5,0),IF(AND($W101="Bank",$G$29=7),HLOOKUP($G$84,AnchorRatings,6,0))))))))))</f>
        <v>0</v>
      </c>
      <c r="K84" s="531">
        <f>'2-Constants'!$C$5</f>
        <v>1.5</v>
      </c>
      <c r="L84" s="545">
        <v>0</v>
      </c>
      <c r="M84" s="633">
        <f>(IF($A88="Behind",-$J88,0))</f>
        <v>0</v>
      </c>
      <c r="N84" s="2"/>
      <c r="O84" s="786" t="s">
        <v>1247</v>
      </c>
      <c r="P84" s="569">
        <f>ABS($L$56+$L$57+(IF($L$58&lt;0,$L$58,0))+$L$59)</f>
        <v>0</v>
      </c>
      <c r="Q84" s="791"/>
      <c r="R84" s="2"/>
      <c r="S84" s="1023" t="s">
        <v>700</v>
      </c>
      <c r="T84" s="988" t="s">
        <v>688</v>
      </c>
      <c r="U84" s="1068"/>
      <c r="V84" s="1068"/>
      <c r="W84" s="1068"/>
      <c r="X84" s="1068"/>
      <c r="Y84" s="367" t="s">
        <v>620</v>
      </c>
      <c r="Z84" s="984" t="s">
        <v>701</v>
      </c>
      <c r="AA84" s="357"/>
      <c r="AB84" s="1023" t="s">
        <v>700</v>
      </c>
      <c r="AC84" s="986" t="s">
        <v>727</v>
      </c>
      <c r="AD84" s="1027"/>
      <c r="AE84" s="1027"/>
      <c r="AF84" s="1028"/>
      <c r="AI84" s="364">
        <v>39</v>
      </c>
      <c r="AJ84" s="330">
        <f t="shared" si="39"/>
        <v>0</v>
      </c>
      <c r="AK84" s="344" t="str">
        <f t="shared" si="20"/>
        <v>None</v>
      </c>
      <c r="AL84" s="330">
        <f t="shared" si="58"/>
        <v>0</v>
      </c>
      <c r="AM84" s="336">
        <f t="shared" si="51"/>
        <v>0</v>
      </c>
      <c r="AN84" s="330">
        <f t="shared" si="59"/>
        <v>0</v>
      </c>
      <c r="AO84" s="437">
        <f t="shared" si="52"/>
        <v>0</v>
      </c>
      <c r="AP84" s="348" t="b">
        <f t="shared" si="53"/>
        <v>0</v>
      </c>
      <c r="AQ84" s="348">
        <f t="shared" si="21"/>
        <v>0</v>
      </c>
      <c r="AR84" s="348">
        <f t="shared" si="22"/>
        <v>0</v>
      </c>
      <c r="AS84" s="348">
        <f t="shared" si="41"/>
        <v>0</v>
      </c>
      <c r="AT84" s="348" t="str">
        <f t="shared" si="42"/>
        <v/>
      </c>
      <c r="AU84" s="348" t="str">
        <f t="shared" si="43"/>
        <v/>
      </c>
      <c r="AV84" s="348">
        <f t="shared" si="44"/>
        <v>0</v>
      </c>
      <c r="AW84" s="348">
        <f t="shared" si="23"/>
        <v>0</v>
      </c>
      <c r="AX84" s="348">
        <f t="shared" si="24"/>
        <v>0</v>
      </c>
      <c r="AY84" s="330">
        <f t="shared" si="25"/>
        <v>0</v>
      </c>
      <c r="AZ84" s="330">
        <f t="shared" si="26"/>
        <v>0</v>
      </c>
      <c r="BA84" s="330">
        <f t="shared" si="27"/>
        <v>0</v>
      </c>
      <c r="BB84" s="330">
        <f t="shared" si="28"/>
        <v>0</v>
      </c>
      <c r="BC84" s="330">
        <f t="shared" si="29"/>
        <v>0</v>
      </c>
      <c r="BD84" s="330">
        <f t="shared" si="30"/>
        <v>0</v>
      </c>
      <c r="BE84" s="330">
        <f t="shared" si="45"/>
        <v>0</v>
      </c>
      <c r="BF84" s="330">
        <f t="shared" si="46"/>
        <v>0</v>
      </c>
      <c r="BG84" s="330">
        <f t="shared" si="31"/>
        <v>0</v>
      </c>
      <c r="BH84" s="330" t="str">
        <f t="shared" si="32"/>
        <v/>
      </c>
      <c r="BI84" s="330" t="str">
        <f t="shared" si="47"/>
        <v/>
      </c>
      <c r="BJ84" s="330" t="str">
        <f t="shared" si="48"/>
        <v/>
      </c>
      <c r="BK84" s="330" t="str">
        <f t="shared" si="33"/>
        <v/>
      </c>
      <c r="BL84" s="330" t="str">
        <f t="shared" si="34"/>
        <v/>
      </c>
      <c r="BM84" s="330" t="str">
        <f t="shared" si="49"/>
        <v/>
      </c>
      <c r="BN84" s="330" t="str">
        <f t="shared" si="54"/>
        <v/>
      </c>
      <c r="BO84" s="330">
        <f t="shared" si="35"/>
        <v>0</v>
      </c>
      <c r="BP84" s="330">
        <f t="shared" si="36"/>
        <v>0</v>
      </c>
      <c r="BQ84" s="330">
        <f t="shared" si="37"/>
        <v>0</v>
      </c>
      <c r="BR84" s="330" t="str">
        <f t="shared" si="38"/>
        <v/>
      </c>
      <c r="BS84" s="432" t="str">
        <f t="shared" si="50"/>
        <v/>
      </c>
    </row>
    <row r="85" spans="1:71" ht="15" thickBot="1">
      <c r="A85" s="971" t="s">
        <v>890</v>
      </c>
      <c r="B85" s="972"/>
      <c r="C85" s="972"/>
      <c r="D85" s="972"/>
      <c r="E85" s="972"/>
      <c r="F85" s="972"/>
      <c r="G85" s="972"/>
      <c r="H85" s="972"/>
      <c r="I85" s="972"/>
      <c r="J85" s="972"/>
      <c r="L85" s="639">
        <v>0</v>
      </c>
      <c r="M85" s="640">
        <f>(IF($A89="Behind",-$J89,0))</f>
        <v>0</v>
      </c>
      <c r="O85" s="786" t="s">
        <v>1252</v>
      </c>
      <c r="P85" s="788">
        <f>$P$83-$P$84</f>
        <v>0</v>
      </c>
      <c r="Q85" s="791"/>
      <c r="R85" s="189"/>
      <c r="S85" s="1024"/>
      <c r="T85" s="357" t="s">
        <v>650</v>
      </c>
      <c r="U85" s="990" t="s">
        <v>694</v>
      </c>
      <c r="V85" s="991"/>
      <c r="W85" s="357" t="s">
        <v>733</v>
      </c>
      <c r="X85" s="357" t="s">
        <v>732</v>
      </c>
      <c r="Y85" s="357" t="s">
        <v>685</v>
      </c>
      <c r="Z85" s="985"/>
      <c r="AA85" s="357"/>
      <c r="AB85" s="1024"/>
      <c r="AC85" s="407" t="s">
        <v>650</v>
      </c>
      <c r="AD85" s="407" t="s">
        <v>733</v>
      </c>
      <c r="AE85" s="407" t="s">
        <v>732</v>
      </c>
      <c r="AF85" s="428" t="s">
        <v>731</v>
      </c>
      <c r="AI85" s="364">
        <v>40</v>
      </c>
      <c r="AJ85" s="330">
        <f t="shared" si="39"/>
        <v>0</v>
      </c>
      <c r="AK85" s="344" t="str">
        <f t="shared" si="20"/>
        <v>None</v>
      </c>
      <c r="AL85" s="330">
        <f t="shared" si="58"/>
        <v>0</v>
      </c>
      <c r="AM85" s="336">
        <f t="shared" si="51"/>
        <v>0</v>
      </c>
      <c r="AN85" s="330">
        <f t="shared" si="59"/>
        <v>0</v>
      </c>
      <c r="AO85" s="437">
        <f t="shared" si="52"/>
        <v>0</v>
      </c>
      <c r="AP85" s="348" t="b">
        <f t="shared" si="53"/>
        <v>0</v>
      </c>
      <c r="AQ85" s="348">
        <f t="shared" si="21"/>
        <v>0</v>
      </c>
      <c r="AR85" s="348">
        <f t="shared" si="22"/>
        <v>0</v>
      </c>
      <c r="AS85" s="348">
        <f t="shared" si="41"/>
        <v>0</v>
      </c>
      <c r="AT85" s="348" t="str">
        <f t="shared" si="42"/>
        <v/>
      </c>
      <c r="AU85" s="348" t="str">
        <f t="shared" si="43"/>
        <v/>
      </c>
      <c r="AV85" s="348">
        <f t="shared" si="44"/>
        <v>0</v>
      </c>
      <c r="AW85" s="348">
        <f t="shared" si="23"/>
        <v>0</v>
      </c>
      <c r="AX85" s="348">
        <f t="shared" si="24"/>
        <v>0</v>
      </c>
      <c r="AY85" s="330">
        <f t="shared" si="25"/>
        <v>0</v>
      </c>
      <c r="AZ85" s="330">
        <f t="shared" si="26"/>
        <v>0</v>
      </c>
      <c r="BA85" s="330">
        <f t="shared" si="27"/>
        <v>0</v>
      </c>
      <c r="BB85" s="330">
        <f t="shared" si="28"/>
        <v>0</v>
      </c>
      <c r="BC85" s="330">
        <f t="shared" si="29"/>
        <v>0</v>
      </c>
      <c r="BD85" s="330">
        <f t="shared" si="30"/>
        <v>0</v>
      </c>
      <c r="BE85" s="330">
        <f t="shared" si="45"/>
        <v>0</v>
      </c>
      <c r="BF85" s="330">
        <f t="shared" si="46"/>
        <v>0</v>
      </c>
      <c r="BG85" s="330">
        <f t="shared" si="31"/>
        <v>0</v>
      </c>
      <c r="BH85" s="330" t="str">
        <f t="shared" si="32"/>
        <v/>
      </c>
      <c r="BI85" s="330" t="str">
        <f t="shared" si="47"/>
        <v/>
      </c>
      <c r="BJ85" s="330" t="str">
        <f t="shared" si="48"/>
        <v/>
      </c>
      <c r="BK85" s="330" t="str">
        <f t="shared" si="33"/>
        <v/>
      </c>
      <c r="BL85" s="330" t="str">
        <f t="shared" si="34"/>
        <v/>
      </c>
      <c r="BM85" s="330" t="str">
        <f t="shared" si="49"/>
        <v/>
      </c>
      <c r="BN85" s="330" t="str">
        <f t="shared" si="54"/>
        <v/>
      </c>
      <c r="BO85" s="330">
        <f t="shared" si="35"/>
        <v>0</v>
      </c>
      <c r="BP85" s="330">
        <f t="shared" si="36"/>
        <v>0</v>
      </c>
      <c r="BQ85" s="330">
        <f t="shared" si="37"/>
        <v>0</v>
      </c>
      <c r="BR85" s="330" t="str">
        <f t="shared" si="38"/>
        <v/>
      </c>
      <c r="BS85" s="432" t="str">
        <f t="shared" si="50"/>
        <v/>
      </c>
    </row>
    <row r="86" spans="1:71" ht="16.5" thickTop="1" thickBot="1">
      <c r="A86" s="656" t="s">
        <v>932</v>
      </c>
      <c r="B86" s="560" t="s">
        <v>906</v>
      </c>
      <c r="C86" s="560" t="s">
        <v>954</v>
      </c>
      <c r="D86" s="176" t="s">
        <v>899</v>
      </c>
      <c r="E86" s="176" t="s">
        <v>900</v>
      </c>
      <c r="F86" s="176" t="s">
        <v>1266</v>
      </c>
      <c r="G86" s="176" t="s">
        <v>901</v>
      </c>
      <c r="H86" s="176" t="s">
        <v>1026</v>
      </c>
      <c r="I86" s="176" t="s">
        <v>902</v>
      </c>
      <c r="J86" s="552" t="s">
        <v>903</v>
      </c>
      <c r="K86" s="532">
        <f>$I$72</f>
        <v>0</v>
      </c>
      <c r="L86" s="793">
        <f>$L$82+$L$83+$L$84+$L$85</f>
        <v>0</v>
      </c>
      <c r="M86" s="794">
        <f>$M$82+$M$83+$M$84+$M$85</f>
        <v>0</v>
      </c>
      <c r="O86" s="786" t="s">
        <v>1248</v>
      </c>
      <c r="P86" s="569">
        <f>($L$66+(IF($L$69&gt;0,$L$69,0)))*$L$72</f>
        <v>0</v>
      </c>
      <c r="Q86" s="791"/>
      <c r="S86" s="412" t="s">
        <v>702</v>
      </c>
      <c r="T86" s="348" t="str">
        <f>IF(OR($E$22="",$F$22="",$F$25="",$G$25=""),"",IF($X$39&lt;=$AE$12,"Submerged",IF($X$38&gt;$AE$12,"Dry","Partial")))</f>
        <v/>
      </c>
      <c r="U86" s="1071" t="str">
        <f>IF($X$86="","None",IF($W$86&lt;$B$14,"Left Floodplain",IF($W$86&lt;$B$15,"Left Bank",IF($W$86&lt;$B$16,"Left Stream Bed",IF($W$86&lt;$B$17,"Right Stream Bed",IF($W$86&lt;$B$18,"Right Bank","Right Floodplain"))))))</f>
        <v>None</v>
      </c>
      <c r="V86" s="991">
        <f>IF($U$47=0,0,IF(OR($B$25=0,$B$25=180,$B$25=360),$E$22-ABS(($X$39-$W$47)/$M$20),IF(AND($U$38&lt;=$U$39,$X$38&gt;=$Y$38),ABS(($X$38-$W$47)/($AA$40*$M$17*$M$19)),IF(AND($U$38&lt;=$U$39,$X$38&lt;$Y$38),ABS($E$22-(ABS(($X$38-$W$47)/($AA$40*$M$17*$M$19)))),IF(AND($U$38&gt;$U$39,$X$39&gt;=$Y$39),ABS(($X$39-$W$47)/($AA$40*$M$17*$M$19)),IF(AND($U$38&gt;=$U$39,$X$39&lt;$Y$39),ABS($E$22-(ABS(($X$38-$W$47)/($AA$40*$M$17*$M$19))))))))))</f>
        <v>0</v>
      </c>
      <c r="W86" s="348" t="str">
        <f>IF($X$86="","",$U$39-(($X$39-$AE$8)/$AA$40))</f>
        <v/>
      </c>
      <c r="X86" s="348" t="str">
        <f>IF($T$86="Partial",$AE$12,"")</f>
        <v/>
      </c>
      <c r="Y86" s="348" t="str">
        <f>IF($X$86="","",IF($W$86&lt;$B$14,(($W$86-$B$13)*$AB$31)+$C$13,IF($W$86&lt;$B$15,(($W$86-$B$14)*$AB$32)+$C$14,IF($W$86&lt;$B$16,(($W$86-$B$15)*$AB$33)+$C$15,IF($W$86&lt;$B$17,(($W$86-$B$16)*$AB$34)+$C$16,IF($W$86&lt;$B$18,(($W$86-$B$17)*$AB$35)+$C$17,IF($W$86&lt;$B$19,(($W$86-$B$18)*$AB$36)+$C$18)))))))</f>
        <v/>
      </c>
      <c r="Z86" s="394" t="str">
        <f>IF($X$86="","",IF($X$86&lt;=$Y$86,"Yes","No"))</f>
        <v/>
      </c>
      <c r="AA86" s="348"/>
      <c r="AB86" s="422" t="s">
        <v>729</v>
      </c>
      <c r="AC86" s="395" t="str">
        <f>IF($T$86="","",IF($X$41&gt;$AE$8,"Dry",IF($T$86="Submerged","Submerged","Partial")))</f>
        <v/>
      </c>
      <c r="AD86" s="395" t="str">
        <f>IF($AE$86="","",$U$39-(($X$39-$AE$8)/$AB$40))</f>
        <v/>
      </c>
      <c r="AE86" s="395" t="str">
        <f>IF($AC$86="Partial",$AE$12,"")</f>
        <v/>
      </c>
      <c r="AF86" s="429" t="e">
        <f>IF($AC$86="Submerged",0,IF($AC$86="Dry",$F$22,($X$39-$AE$8)/$M$19))</f>
        <v>#DIV/0!</v>
      </c>
      <c r="AI86" s="364">
        <v>41</v>
      </c>
      <c r="AJ86" s="330">
        <f t="shared" si="39"/>
        <v>0</v>
      </c>
      <c r="AK86" s="344" t="str">
        <f t="shared" si="20"/>
        <v>None</v>
      </c>
      <c r="AL86" s="330">
        <f t="shared" si="58"/>
        <v>0</v>
      </c>
      <c r="AM86" s="336">
        <f t="shared" si="51"/>
        <v>0</v>
      </c>
      <c r="AN86" s="330">
        <f t="shared" si="59"/>
        <v>0</v>
      </c>
      <c r="AO86" s="437">
        <f t="shared" si="52"/>
        <v>0</v>
      </c>
      <c r="AP86" s="348" t="b">
        <f t="shared" si="53"/>
        <v>0</v>
      </c>
      <c r="AQ86" s="348">
        <f t="shared" si="21"/>
        <v>0</v>
      </c>
      <c r="AR86" s="348">
        <f t="shared" si="22"/>
        <v>0</v>
      </c>
      <c r="AS86" s="348">
        <f t="shared" si="41"/>
        <v>0</v>
      </c>
      <c r="AT86" s="348" t="str">
        <f t="shared" si="42"/>
        <v/>
      </c>
      <c r="AU86" s="348" t="str">
        <f t="shared" si="43"/>
        <v/>
      </c>
      <c r="AV86" s="348">
        <f t="shared" si="44"/>
        <v>0</v>
      </c>
      <c r="AW86" s="348">
        <f t="shared" si="23"/>
        <v>0</v>
      </c>
      <c r="AX86" s="348">
        <f t="shared" si="24"/>
        <v>0</v>
      </c>
      <c r="AY86" s="330">
        <f t="shared" si="25"/>
        <v>0</v>
      </c>
      <c r="AZ86" s="330">
        <f t="shared" si="26"/>
        <v>0</v>
      </c>
      <c r="BA86" s="330">
        <f t="shared" si="27"/>
        <v>0</v>
      </c>
      <c r="BB86" s="330">
        <f t="shared" si="28"/>
        <v>0</v>
      </c>
      <c r="BC86" s="330">
        <f t="shared" si="29"/>
        <v>0</v>
      </c>
      <c r="BD86" s="330">
        <f t="shared" si="30"/>
        <v>0</v>
      </c>
      <c r="BE86" s="330">
        <f t="shared" si="45"/>
        <v>0</v>
      </c>
      <c r="BF86" s="330">
        <f t="shared" si="46"/>
        <v>0</v>
      </c>
      <c r="BG86" s="330">
        <f t="shared" si="31"/>
        <v>0</v>
      </c>
      <c r="BH86" s="330" t="str">
        <f t="shared" si="32"/>
        <v/>
      </c>
      <c r="BI86" s="330" t="str">
        <f t="shared" si="47"/>
        <v/>
      </c>
      <c r="BJ86" s="330" t="str">
        <f t="shared" si="48"/>
        <v/>
      </c>
      <c r="BK86" s="330" t="str">
        <f t="shared" si="33"/>
        <v/>
      </c>
      <c r="BL86" s="330" t="str">
        <f t="shared" si="34"/>
        <v/>
      </c>
      <c r="BM86" s="330" t="str">
        <f t="shared" si="49"/>
        <v/>
      </c>
      <c r="BN86" s="330" t="str">
        <f t="shared" si="54"/>
        <v/>
      </c>
      <c r="BO86" s="330">
        <f t="shared" si="35"/>
        <v>0</v>
      </c>
      <c r="BP86" s="330">
        <f t="shared" si="36"/>
        <v>0</v>
      </c>
      <c r="BQ86" s="330">
        <f t="shared" si="37"/>
        <v>0</v>
      </c>
      <c r="BR86" s="330" t="str">
        <f t="shared" si="38"/>
        <v/>
      </c>
      <c r="BS86" s="432" t="str">
        <f t="shared" si="50"/>
        <v/>
      </c>
    </row>
    <row r="87" spans="1:71" ht="13.5" thickBot="1">
      <c r="A87" s="247"/>
      <c r="B87" s="593"/>
      <c r="C87" s="603"/>
      <c r="D87" s="585" t="str">
        <f>IF(OR($B87="",$C87=""),"",(PI()*($B87^3)/6)-$E87)</f>
        <v/>
      </c>
      <c r="E87" s="585" t="str">
        <f>IF($B87="","",$U94)</f>
        <v/>
      </c>
      <c r="F87" s="586" t="str">
        <f>IF(OR($B87="",$C87=""),"",($D87*DUWRock)+($E87*(DUWRock-SWWater)))</f>
        <v/>
      </c>
      <c r="G87" s="586" t="str">
        <f>IF(OR($B87="",$C87=""),"",$Q99)</f>
        <v/>
      </c>
      <c r="H87" s="586" t="str">
        <f>IF(OR($B87="",$C87=""),"",$P99)</f>
        <v/>
      </c>
      <c r="I87" s="615">
        <f>IF(OR($B87="",$C87=""),0,IF($A87="Behind",0,IF(AND($A87="Deadman",$P$85&lt;=0),0,IF(AND($A87="Deadman",$P$82&gt;=$P$85),($F87-$G87)*($P$85/$P$82),$F87-$G87))))</f>
        <v>0</v>
      </c>
      <c r="J87" s="508">
        <f>IF(OR($B87="",$C87=""),0,IF($A87="Above",0,IF($A87="Deadman",($F87-$G87)-$I87,IF(AND($A87="Behind",OR($W94="Left Stream Bed",$W94="Right Stream Bed")),(($F87-$G87)*$E$70)-$H87,(($F87-$G87)*$E$71)-$H87))))</f>
        <v>0</v>
      </c>
      <c r="K87" s="533">
        <f>'2-Constants'!$C$6</f>
        <v>2</v>
      </c>
      <c r="L87" s="636">
        <f>IF($J83=0,0,IF($P$85&lt;=0,0,IF($P$82&gt;=$P$85,-J$83*($P$85/$P$82),-$J83)))</f>
        <v>0</v>
      </c>
      <c r="M87" s="637">
        <f>-($J83+$L87)</f>
        <v>0</v>
      </c>
      <c r="O87" s="786" t="s">
        <v>1249</v>
      </c>
      <c r="P87" s="569">
        <f>ABS($L$67+$L$68+(IF($L$69&lt;0,$L$69,0))+$L$70)</f>
        <v>0</v>
      </c>
      <c r="Q87" s="791"/>
      <c r="S87" s="412" t="s">
        <v>710</v>
      </c>
      <c r="T87" s="348" t="str">
        <f>IF(OR($E$22="",$F$22="",$F$25="",$G$25=""),"",IF($X$43&lt;=$AE$12,"Submerged",IF($X$42&gt;=$AE$12,"Dry","Partial")))</f>
        <v/>
      </c>
      <c r="U87" s="1071" t="str">
        <f>IF($X$87="","None",IF($W$87&lt;$B$14,"Left Floodplain",IF($W$87&lt;$B$15,"Left Bank",IF($W$87&lt;$B$16,"Left Stream Bed",IF($W$87&lt;$B$17,"Right Stream Bed",IF($W$87&lt;$B$18,"Right Bank","Right Floodplain"))))))</f>
        <v>None</v>
      </c>
      <c r="V87" s="991">
        <f>IF($U$47=0,0,IF(OR($B$25=0,$B$25=180,$B$25=360),$E$22-ABS(($X$39-$W$47)/$M$20),IF(AND($U$38&lt;=$U$39,$X$38&gt;=$Y$38),ABS(($X$38-$W$47)/($AA$40*$M$17*$M$19)),IF(AND($U$38&lt;=$U$39,$X$38&lt;$Y$38),ABS($E$22-(ABS(($X$38-$W$47)/($AA$40*$M$17*$M$19)))),IF(AND($U$38&gt;$U$39,$X$39&gt;=$Y$39),ABS(($X$39-$W$47)/($AA$40*$M$17*$M$19)),IF(AND($U$38&gt;=$U$39,$X$39&lt;$Y$39),ABS($E$22-(ABS(($X$38-$W$47)/($AA$40*$M$17*$M$19))))))))))</f>
        <v>0</v>
      </c>
      <c r="W87" s="348" t="str">
        <f>IF($X$87="","",$U$43-(($X$43-$AE$8)/$AA$40))</f>
        <v/>
      </c>
      <c r="X87" s="348" t="str">
        <f>IF($T$87="Partial",$AE$12,"")</f>
        <v/>
      </c>
      <c r="Y87" s="348" t="str">
        <f>IF($X$87="","",IF($W$87&lt;$B$14,(($W$87-$B$13)*$AB$31)+$C$13,IF($W$87&lt;$B$15,(($W$87-$B$14)*$AB$32)+$C$14,IF($W$87&lt;$B$16,(($W$87-$B$15)*$AB$33)+$C$15,IF($W$87&lt;$B$17,(($W$87-$B$16)*$AB$34)+$C$16,IF($W$87&lt;$B$18,(($W$87-$B$17)*$AB$35)+$C$17,IF($W$87&lt;$B$19,(($W$87-$B$18)*$AB$36)+$C$18)))))))</f>
        <v/>
      </c>
      <c r="Z87" s="394" t="str">
        <f>IF($X$87="","",IF($X$87&lt;=$Y$87,"Yes","No"))</f>
        <v/>
      </c>
      <c r="AA87" s="348"/>
      <c r="AB87" s="425" t="s">
        <v>728</v>
      </c>
      <c r="AC87" s="426" t="str">
        <f>IF($T$88="","",IF($X$40&gt;=$AE$8,"Dry",IF($X$38&lt;=$AE$8,"Submerged","Partial")))</f>
        <v/>
      </c>
      <c r="AD87" s="396" t="str">
        <f>IF($AE$87="","",$U$38-(($X$38-$AE$8)/$AB$40))</f>
        <v/>
      </c>
      <c r="AE87" s="396" t="str">
        <f>IF($AC$87="Partial",$AE$12,"")</f>
        <v/>
      </c>
      <c r="AF87" s="430" t="e">
        <f>IF($AC$87="Submerged",0,IF($AC$87="Dry",$F$22,($X$38-$AE$8)/$M$19))</f>
        <v>#DIV/0!</v>
      </c>
      <c r="AG87" s="424"/>
      <c r="AI87" s="364">
        <v>42</v>
      </c>
      <c r="AJ87" s="330">
        <f t="shared" si="39"/>
        <v>0</v>
      </c>
      <c r="AK87" s="344" t="str">
        <f t="shared" si="20"/>
        <v>None</v>
      </c>
      <c r="AL87" s="330">
        <f t="shared" si="58"/>
        <v>0</v>
      </c>
      <c r="AM87" s="336">
        <f t="shared" si="51"/>
        <v>0</v>
      </c>
      <c r="AN87" s="330">
        <f t="shared" si="59"/>
        <v>0</v>
      </c>
      <c r="AO87" s="437">
        <f t="shared" si="52"/>
        <v>0</v>
      </c>
      <c r="AP87" s="348" t="b">
        <f t="shared" si="53"/>
        <v>0</v>
      </c>
      <c r="AQ87" s="348">
        <f t="shared" si="21"/>
        <v>0</v>
      </c>
      <c r="AR87" s="348">
        <f t="shared" si="22"/>
        <v>0</v>
      </c>
      <c r="AS87" s="348">
        <f t="shared" si="41"/>
        <v>0</v>
      </c>
      <c r="AT87" s="348" t="str">
        <f t="shared" si="42"/>
        <v/>
      </c>
      <c r="AU87" s="348" t="str">
        <f t="shared" si="43"/>
        <v/>
      </c>
      <c r="AV87" s="348">
        <f t="shared" si="44"/>
        <v>0</v>
      </c>
      <c r="AW87" s="348">
        <f t="shared" si="23"/>
        <v>0</v>
      </c>
      <c r="AX87" s="348">
        <f t="shared" si="24"/>
        <v>0</v>
      </c>
      <c r="AY87" s="330">
        <f t="shared" si="25"/>
        <v>0</v>
      </c>
      <c r="AZ87" s="330">
        <f t="shared" si="26"/>
        <v>0</v>
      </c>
      <c r="BA87" s="330">
        <f t="shared" si="27"/>
        <v>0</v>
      </c>
      <c r="BB87" s="330">
        <f t="shared" si="28"/>
        <v>0</v>
      </c>
      <c r="BC87" s="330">
        <f t="shared" si="29"/>
        <v>0</v>
      </c>
      <c r="BD87" s="330">
        <f t="shared" si="30"/>
        <v>0</v>
      </c>
      <c r="BE87" s="330">
        <f t="shared" si="45"/>
        <v>0</v>
      </c>
      <c r="BF87" s="330">
        <f t="shared" si="46"/>
        <v>0</v>
      </c>
      <c r="BG87" s="330">
        <f t="shared" si="31"/>
        <v>0</v>
      </c>
      <c r="BH87" s="330" t="str">
        <f t="shared" si="32"/>
        <v/>
      </c>
      <c r="BI87" s="330" t="str">
        <f t="shared" si="47"/>
        <v/>
      </c>
      <c r="BJ87" s="330" t="str">
        <f t="shared" si="48"/>
        <v/>
      </c>
      <c r="BK87" s="330" t="str">
        <f t="shared" si="33"/>
        <v/>
      </c>
      <c r="BL87" s="330" t="str">
        <f t="shared" si="34"/>
        <v/>
      </c>
      <c r="BM87" s="330" t="str">
        <f t="shared" si="49"/>
        <v/>
      </c>
      <c r="BN87" s="330" t="str">
        <f t="shared" si="54"/>
        <v/>
      </c>
      <c r="BO87" s="330">
        <f t="shared" si="35"/>
        <v>0</v>
      </c>
      <c r="BP87" s="330">
        <f t="shared" si="36"/>
        <v>0</v>
      </c>
      <c r="BQ87" s="330">
        <f t="shared" si="37"/>
        <v>0</v>
      </c>
      <c r="BR87" s="330" t="str">
        <f t="shared" si="38"/>
        <v/>
      </c>
      <c r="BS87" s="432" t="str">
        <f t="shared" si="50"/>
        <v/>
      </c>
    </row>
    <row r="88" spans="1:71" ht="13.5" thickBot="1">
      <c r="A88" s="248"/>
      <c r="B88" s="594"/>
      <c r="C88" s="604"/>
      <c r="D88" s="587" t="str">
        <f>IF(OR($B88="",$C88=""),"",(PI()*($B88^3)/6)-$E88)</f>
        <v/>
      </c>
      <c r="E88" s="587" t="str">
        <f>IF($B88="","",$U95)</f>
        <v/>
      </c>
      <c r="F88" s="588" t="str">
        <f>IF(OR($B88="",$C88=""),"",($D88*DUWRock)+($E88*(DUWRock-SWWater)))</f>
        <v/>
      </c>
      <c r="G88" s="588" t="str">
        <f>IF(OR($B88="",$C88=""),"",$Q100)</f>
        <v/>
      </c>
      <c r="H88" s="588" t="str">
        <f t="shared" ref="H88:H89" si="60">IF(OR($B88="",$C88=""),"",$P100)</f>
        <v/>
      </c>
      <c r="I88" s="595">
        <f>IF(OR($B88="",$C88=""),0,IF($A88="Behind",0,IF(AND($A88="Deadman",$P$85&lt;=0),0,IF(AND($A88="Deadman",$P$82&gt;=$P$85),($F88-$G88)*($P$85/$P$82),$F88-$G88))))</f>
        <v>0</v>
      </c>
      <c r="J88" s="590">
        <f>IF(OR($B88="",$C88=""),0,IF($A88="Above",0,IF($A88="Deadman",($F88-$G88)-$I88,IF(AND($A88="Behind",OR($W95="Left Stream Bed",$W95="Right Stream Bed")),(($F88-$G88)*$E$70)-$H88,(($F88-$G88)*$E$71)-$H88))))</f>
        <v>0</v>
      </c>
      <c r="K88" s="474"/>
      <c r="L88" s="545">
        <f>IF($J84=0,0,IF($P$85&lt;=0,0,IF($P$82&gt;=$P$85,-J$84*($P$85/$P$82),-$J84)))</f>
        <v>0</v>
      </c>
      <c r="M88" s="633">
        <f>-($J84+$L88)</f>
        <v>0</v>
      </c>
      <c r="O88" s="786" t="s">
        <v>1250</v>
      </c>
      <c r="P88" s="570">
        <f>$P$86-$P$87</f>
        <v>0</v>
      </c>
      <c r="Q88" s="791"/>
      <c r="S88" s="413" t="s">
        <v>691</v>
      </c>
      <c r="T88" s="355" t="str">
        <f>IF(OR($E$22="",$F$22="",$F$25="",$G$25=""),"",IF($X$41&lt;=$AE$12,"Submerged",IF($X$40&gt;=$AE$12,"Dry","Partial")))</f>
        <v/>
      </c>
      <c r="U88" s="1039" t="str">
        <f>IF($X$88="","None",IF($W$88&lt;$B$14,"Left Floodplain",IF($W$88&lt;$B$15,"Left Bank",IF($W$88&lt;$B$16,"Left Stream Bed",IF($W$88&lt;$B$17,"Right Stream Bed",IF($W$88&lt;$B$18,"Right Bank","Right Floodplain"))))))</f>
        <v>None</v>
      </c>
      <c r="V88" s="1040">
        <f>IF($U$47=0,0,IF(OR($B$25=0,$B$25=180,$B$25=360),$E$22-ABS(($X$39-$W$47)/$M$20),IF(AND($U$38&lt;=$U$39,$X$38&gt;=$Y$38),ABS(($X$38-$W$47)/($AA$40*$M$17*$M$19)),IF(AND($U$38&lt;=$U$39,$X$38&lt;$Y$38),ABS($E$22-(ABS(($X$38-$W$47)/($AA$40*$M$17*$M$19)))),IF(AND($U$38&gt;$U$39,$X$39&gt;=$Y$39),ABS(($X$39-$W$47)/($AA$40*$M$17*$M$19)),IF(AND($U$38&gt;=$U$39,$X$39&lt;$Y$39),ABS($E$22-(ABS(($X$38-$W$47)/($AA$40*$M$17*$M$19))))))))))</f>
        <v>0</v>
      </c>
      <c r="W88" s="355" t="str">
        <f>IF($X$88="","",$U$41-(($X$41-$AE$8)/$AA$40))</f>
        <v/>
      </c>
      <c r="X88" s="355" t="str">
        <f>IF($T$88="Partial",$AE$12,"")</f>
        <v/>
      </c>
      <c r="Y88" s="355" t="str">
        <f>IF($X$88="","",IF($W$88&lt;$B$14,(($W$88-$B$13)*$AB$31)+$C$13,IF($W$88&lt;$B$15,(($W$88-$B$14)*$AB$32)+$C$14,IF($W$88&lt;$B$16,(($W$88-$B$15)*$AB$33)+$C$15,IF($W$88&lt;$B$17,(($W$88-$B$16)*$AB$34)+$C$16,IF($W$88&lt;$B$18,(($W$88-$B$17)*$AB$35)+$C$17,IF($W$88&lt;$B$19,(($W$88-$B$18)*$AB$36)+$C$18)))))))</f>
        <v/>
      </c>
      <c r="Z88" s="403" t="str">
        <f>IF($X$88="","",IF($X$88&lt;=$Y$88,"Yes","No"))</f>
        <v/>
      </c>
      <c r="AA88" s="348"/>
      <c r="AI88" s="364">
        <v>43</v>
      </c>
      <c r="AJ88" s="330">
        <f t="shared" si="39"/>
        <v>0</v>
      </c>
      <c r="AK88" s="344" t="str">
        <f t="shared" si="20"/>
        <v>None</v>
      </c>
      <c r="AL88" s="330">
        <f t="shared" si="58"/>
        <v>0</v>
      </c>
      <c r="AM88" s="336">
        <f t="shared" si="51"/>
        <v>0</v>
      </c>
      <c r="AN88" s="330">
        <f t="shared" si="59"/>
        <v>0</v>
      </c>
      <c r="AO88" s="437">
        <f t="shared" si="52"/>
        <v>0</v>
      </c>
      <c r="AP88" s="348" t="b">
        <f t="shared" si="53"/>
        <v>0</v>
      </c>
      <c r="AQ88" s="348">
        <f t="shared" si="21"/>
        <v>0</v>
      </c>
      <c r="AR88" s="348">
        <f t="shared" si="22"/>
        <v>0</v>
      </c>
      <c r="AS88" s="348">
        <f t="shared" si="41"/>
        <v>0</v>
      </c>
      <c r="AT88" s="348" t="str">
        <f t="shared" si="42"/>
        <v/>
      </c>
      <c r="AU88" s="348" t="str">
        <f t="shared" si="43"/>
        <v/>
      </c>
      <c r="AV88" s="348">
        <f t="shared" si="44"/>
        <v>0</v>
      </c>
      <c r="AW88" s="348">
        <f t="shared" si="23"/>
        <v>0</v>
      </c>
      <c r="AX88" s="348">
        <f t="shared" si="24"/>
        <v>0</v>
      </c>
      <c r="AY88" s="330">
        <f t="shared" si="25"/>
        <v>0</v>
      </c>
      <c r="AZ88" s="330">
        <f t="shared" si="26"/>
        <v>0</v>
      </c>
      <c r="BA88" s="330">
        <f t="shared" si="27"/>
        <v>0</v>
      </c>
      <c r="BB88" s="330">
        <f t="shared" si="28"/>
        <v>0</v>
      </c>
      <c r="BC88" s="330">
        <f t="shared" si="29"/>
        <v>0</v>
      </c>
      <c r="BD88" s="330">
        <f t="shared" si="30"/>
        <v>0</v>
      </c>
      <c r="BE88" s="330">
        <f t="shared" si="45"/>
        <v>0</v>
      </c>
      <c r="BF88" s="330">
        <f t="shared" si="46"/>
        <v>0</v>
      </c>
      <c r="BG88" s="330">
        <f t="shared" si="31"/>
        <v>0</v>
      </c>
      <c r="BH88" s="330" t="str">
        <f t="shared" si="32"/>
        <v/>
      </c>
      <c r="BI88" s="330" t="str">
        <f t="shared" si="47"/>
        <v/>
      </c>
      <c r="BJ88" s="330" t="str">
        <f t="shared" si="48"/>
        <v/>
      </c>
      <c r="BK88" s="330" t="str">
        <f t="shared" si="33"/>
        <v/>
      </c>
      <c r="BL88" s="330" t="str">
        <f t="shared" si="34"/>
        <v/>
      </c>
      <c r="BM88" s="330" t="str">
        <f t="shared" si="49"/>
        <v/>
      </c>
      <c r="BN88" s="330" t="str">
        <f t="shared" si="54"/>
        <v/>
      </c>
      <c r="BO88" s="330">
        <f t="shared" si="35"/>
        <v>0</v>
      </c>
      <c r="BP88" s="330">
        <f t="shared" si="36"/>
        <v>0</v>
      </c>
      <c r="BQ88" s="330">
        <f t="shared" si="37"/>
        <v>0</v>
      </c>
      <c r="BR88" s="330" t="str">
        <f t="shared" si="38"/>
        <v/>
      </c>
      <c r="BS88" s="432" t="str">
        <f t="shared" si="50"/>
        <v/>
      </c>
    </row>
    <row r="89" spans="1:71" ht="13.5" thickBot="1">
      <c r="A89" s="249"/>
      <c r="B89" s="614"/>
      <c r="C89" s="605"/>
      <c r="D89" s="612" t="str">
        <f>IF(OR($B89="",$C89=""),"",(PI()*($B89^3)/6)-$E89)</f>
        <v/>
      </c>
      <c r="E89" s="612" t="str">
        <f>IF($B89="","",$U96)</f>
        <v/>
      </c>
      <c r="F89" s="613" t="str">
        <f>IF(OR($B89="",$C89=""),"",($D89*DUWRock)+($E89*(DUWRock-SWWater)))</f>
        <v/>
      </c>
      <c r="G89" s="613" t="str">
        <f>IF(OR($B89="",$C89=""),"",$Q101)</f>
        <v/>
      </c>
      <c r="H89" s="613" t="str">
        <f t="shared" si="60"/>
        <v/>
      </c>
      <c r="I89" s="596">
        <f>IF(OR($B89="",$C89=""),0,IF($A89="Behind",0,IF(AND($A89="Deadman",$P$85&lt;=0),0,IF(AND($A89="Deadman",$P$82&gt;=$P$85),($F89-$G89)*($P$85/$P$82),$F89-$G89))))</f>
        <v>0</v>
      </c>
      <c r="J89" s="591">
        <f t="shared" ref="J89" si="61">IF(OR($B89="",$C89=""),0,IF($A89="Above",0,IF($A89="Deadman",($F89-$G89)-$I89,IF(AND($A89="Behind",OR($W96="Left Stream Bed",$W96="Right Stream Bed")),(($F89-$G89)*$E$70)-$H89,(($F89-$G89)*$E$71)-$H89))))</f>
        <v>0</v>
      </c>
      <c r="K89" s="534">
        <f>I78</f>
        <v>0</v>
      </c>
      <c r="L89" s="545">
        <f>-$I87</f>
        <v>0</v>
      </c>
      <c r="M89" s="633">
        <f>IF($A87="Deadman",-$J87,0)</f>
        <v>0</v>
      </c>
      <c r="N89" s="273"/>
      <c r="O89" s="786"/>
      <c r="P89" s="795"/>
      <c r="Q89" s="791"/>
      <c r="AI89" s="364">
        <v>44</v>
      </c>
      <c r="AJ89" s="330">
        <f t="shared" si="39"/>
        <v>0</v>
      </c>
      <c r="AK89" s="344" t="str">
        <f t="shared" si="20"/>
        <v>None</v>
      </c>
      <c r="AL89" s="330">
        <f t="shared" si="58"/>
        <v>0</v>
      </c>
      <c r="AM89" s="336">
        <f t="shared" si="51"/>
        <v>0</v>
      </c>
      <c r="AN89" s="330">
        <f t="shared" si="59"/>
        <v>0</v>
      </c>
      <c r="AO89" s="437">
        <f t="shared" si="52"/>
        <v>0</v>
      </c>
      <c r="AP89" s="348" t="b">
        <f t="shared" si="53"/>
        <v>0</v>
      </c>
      <c r="AQ89" s="348">
        <f t="shared" si="21"/>
        <v>0</v>
      </c>
      <c r="AR89" s="348">
        <f t="shared" si="22"/>
        <v>0</v>
      </c>
      <c r="AS89" s="348">
        <f t="shared" si="41"/>
        <v>0</v>
      </c>
      <c r="AT89" s="348" t="str">
        <f t="shared" si="42"/>
        <v/>
      </c>
      <c r="AU89" s="348" t="str">
        <f t="shared" si="43"/>
        <v/>
      </c>
      <c r="AV89" s="348">
        <f t="shared" si="44"/>
        <v>0</v>
      </c>
      <c r="AW89" s="348">
        <f t="shared" si="23"/>
        <v>0</v>
      </c>
      <c r="AX89" s="348">
        <f t="shared" si="24"/>
        <v>0</v>
      </c>
      <c r="AY89" s="330">
        <f t="shared" si="25"/>
        <v>0</v>
      </c>
      <c r="AZ89" s="330">
        <f t="shared" si="26"/>
        <v>0</v>
      </c>
      <c r="BA89" s="330">
        <f t="shared" si="27"/>
        <v>0</v>
      </c>
      <c r="BB89" s="330">
        <f t="shared" si="28"/>
        <v>0</v>
      </c>
      <c r="BC89" s="330">
        <f t="shared" si="29"/>
        <v>0</v>
      </c>
      <c r="BD89" s="330">
        <f t="shared" si="30"/>
        <v>0</v>
      </c>
      <c r="BE89" s="330">
        <f t="shared" si="45"/>
        <v>0</v>
      </c>
      <c r="BF89" s="330">
        <f t="shared" si="46"/>
        <v>0</v>
      </c>
      <c r="BG89" s="330">
        <f t="shared" si="31"/>
        <v>0</v>
      </c>
      <c r="BH89" s="330" t="str">
        <f t="shared" si="32"/>
        <v/>
      </c>
      <c r="BI89" s="330" t="str">
        <f t="shared" si="47"/>
        <v/>
      </c>
      <c r="BJ89" s="330" t="str">
        <f t="shared" si="48"/>
        <v/>
      </c>
      <c r="BK89" s="330" t="str">
        <f t="shared" si="33"/>
        <v/>
      </c>
      <c r="BL89" s="330" t="str">
        <f t="shared" si="34"/>
        <v/>
      </c>
      <c r="BM89" s="330" t="str">
        <f t="shared" si="49"/>
        <v/>
      </c>
      <c r="BN89" s="330" t="str">
        <f t="shared" si="54"/>
        <v/>
      </c>
      <c r="BO89" s="330">
        <f t="shared" si="35"/>
        <v>0</v>
      </c>
      <c r="BP89" s="330">
        <f t="shared" si="36"/>
        <v>0</v>
      </c>
      <c r="BQ89" s="330">
        <f t="shared" si="37"/>
        <v>0</v>
      </c>
      <c r="BR89" s="330" t="str">
        <f t="shared" si="38"/>
        <v/>
      </c>
      <c r="BS89" s="432" t="str">
        <f t="shared" si="50"/>
        <v/>
      </c>
    </row>
    <row r="90" spans="1:71" ht="13.15" customHeight="1" thickBot="1">
      <c r="A90" s="657"/>
      <c r="B90" s="657"/>
      <c r="C90" s="657"/>
      <c r="D90" s="700"/>
      <c r="E90" s="701"/>
      <c r="F90" s="702"/>
      <c r="G90" s="702"/>
      <c r="H90" s="703"/>
      <c r="I90" s="704"/>
      <c r="J90" s="704"/>
      <c r="K90" s="535">
        <f>'2-Constants'!$C$7</f>
        <v>2</v>
      </c>
      <c r="L90" s="545">
        <f>-$I88</f>
        <v>0</v>
      </c>
      <c r="M90" s="633">
        <f>IF($A88="Deadman",-$J88,0)</f>
        <v>0</v>
      </c>
      <c r="Q90" s="791"/>
      <c r="AI90" s="364">
        <v>45</v>
      </c>
      <c r="AJ90" s="330">
        <f t="shared" si="39"/>
        <v>0</v>
      </c>
      <c r="AK90" s="344" t="str">
        <f t="shared" si="20"/>
        <v>None</v>
      </c>
      <c r="AL90" s="330">
        <f t="shared" si="58"/>
        <v>0</v>
      </c>
      <c r="AM90" s="336">
        <f t="shared" si="51"/>
        <v>0</v>
      </c>
      <c r="AN90" s="330">
        <f t="shared" si="59"/>
        <v>0</v>
      </c>
      <c r="AO90" s="437">
        <f t="shared" si="52"/>
        <v>0</v>
      </c>
      <c r="AP90" s="348" t="b">
        <f t="shared" si="53"/>
        <v>0</v>
      </c>
      <c r="AQ90" s="348">
        <f t="shared" si="21"/>
        <v>0</v>
      </c>
      <c r="AR90" s="348">
        <f t="shared" si="22"/>
        <v>0</v>
      </c>
      <c r="AS90" s="348">
        <f t="shared" si="41"/>
        <v>0</v>
      </c>
      <c r="AT90" s="348" t="str">
        <f t="shared" si="42"/>
        <v/>
      </c>
      <c r="AU90" s="348" t="str">
        <f t="shared" si="43"/>
        <v/>
      </c>
      <c r="AV90" s="348">
        <f t="shared" si="44"/>
        <v>0</v>
      </c>
      <c r="AW90" s="348">
        <f t="shared" si="23"/>
        <v>0</v>
      </c>
      <c r="AX90" s="348">
        <f t="shared" si="24"/>
        <v>0</v>
      </c>
      <c r="AY90" s="330">
        <f t="shared" si="25"/>
        <v>0</v>
      </c>
      <c r="AZ90" s="330">
        <f t="shared" si="26"/>
        <v>0</v>
      </c>
      <c r="BA90" s="330">
        <f t="shared" si="27"/>
        <v>0</v>
      </c>
      <c r="BB90" s="330">
        <f t="shared" si="28"/>
        <v>0</v>
      </c>
      <c r="BC90" s="330">
        <f t="shared" si="29"/>
        <v>0</v>
      </c>
      <c r="BD90" s="330">
        <f t="shared" si="30"/>
        <v>0</v>
      </c>
      <c r="BE90" s="330">
        <f t="shared" si="45"/>
        <v>0</v>
      </c>
      <c r="BF90" s="330">
        <f t="shared" si="46"/>
        <v>0</v>
      </c>
      <c r="BG90" s="330">
        <f t="shared" si="31"/>
        <v>0</v>
      </c>
      <c r="BH90" s="330" t="str">
        <f t="shared" si="32"/>
        <v/>
      </c>
      <c r="BI90" s="330" t="str">
        <f t="shared" si="47"/>
        <v/>
      </c>
      <c r="BJ90" s="330" t="str">
        <f t="shared" si="48"/>
        <v/>
      </c>
      <c r="BK90" s="330" t="str">
        <f t="shared" si="33"/>
        <v/>
      </c>
      <c r="BL90" s="330" t="str">
        <f t="shared" si="34"/>
        <v/>
      </c>
      <c r="BM90" s="330" t="str">
        <f t="shared" si="49"/>
        <v/>
      </c>
      <c r="BN90" s="330" t="str">
        <f t="shared" si="54"/>
        <v/>
      </c>
      <c r="BO90" s="330">
        <f t="shared" si="35"/>
        <v>0</v>
      </c>
      <c r="BP90" s="330">
        <f t="shared" si="36"/>
        <v>0</v>
      </c>
      <c r="BQ90" s="330">
        <f t="shared" si="37"/>
        <v>0</v>
      </c>
      <c r="BR90" s="330" t="str">
        <f t="shared" si="38"/>
        <v/>
      </c>
      <c r="BS90" s="432" t="str">
        <f t="shared" si="50"/>
        <v/>
      </c>
    </row>
    <row r="91" spans="1:71" ht="15" thickBot="1">
      <c r="A91" s="686" t="str">
        <f>IF($A$6="","",$A$6)</f>
        <v/>
      </c>
      <c r="B91" s="1018" t="str">
        <f>IF($A$6="","",$B$6)</f>
        <v/>
      </c>
      <c r="C91" s="938"/>
      <c r="D91" s="686" t="str">
        <f>IF(OR($B$9="N/A",$B$9=""),"",$B$9)</f>
        <v/>
      </c>
      <c r="E91" s="687" t="str">
        <f>IF($D$48="","","Log ID")</f>
        <v/>
      </c>
      <c r="F91" s="688" t="str">
        <f>IF($D$48="","",$C$9)</f>
        <v/>
      </c>
      <c r="G91" s="677"/>
      <c r="H91" s="680"/>
      <c r="I91" s="657"/>
      <c r="J91" s="687" t="s">
        <v>965</v>
      </c>
      <c r="L91" s="545">
        <f>-$I89</f>
        <v>0</v>
      </c>
      <c r="M91" s="633">
        <f>IF($A89="Deadman",-$J89,0)</f>
        <v>0</v>
      </c>
      <c r="U91" s="962" t="s">
        <v>1017</v>
      </c>
      <c r="V91" s="830"/>
      <c r="W91" s="830"/>
      <c r="X91" s="830"/>
      <c r="Y91" s="830"/>
      <c r="AA91" s="134"/>
      <c r="AB91" s="963" t="s">
        <v>775</v>
      </c>
      <c r="AC91" s="964"/>
      <c r="AD91" s="1070" t="s">
        <v>1005</v>
      </c>
      <c r="AE91" s="964"/>
      <c r="AF91" s="1070" t="s">
        <v>1006</v>
      </c>
      <c r="AG91" s="965"/>
      <c r="AI91" s="364">
        <v>46</v>
      </c>
      <c r="AJ91" s="330">
        <f t="shared" si="39"/>
        <v>0</v>
      </c>
      <c r="AK91" s="344" t="str">
        <f t="shared" si="20"/>
        <v>None</v>
      </c>
      <c r="AL91" s="330">
        <f t="shared" si="58"/>
        <v>0</v>
      </c>
      <c r="AM91" s="336">
        <f t="shared" si="51"/>
        <v>0</v>
      </c>
      <c r="AN91" s="330">
        <f t="shared" si="59"/>
        <v>0</v>
      </c>
      <c r="AO91" s="437">
        <f t="shared" si="52"/>
        <v>0</v>
      </c>
      <c r="AP91" s="348" t="b">
        <f t="shared" si="53"/>
        <v>0</v>
      </c>
      <c r="AQ91" s="348">
        <f t="shared" si="21"/>
        <v>0</v>
      </c>
      <c r="AR91" s="348">
        <f t="shared" si="22"/>
        <v>0</v>
      </c>
      <c r="AS91" s="348">
        <f t="shared" si="41"/>
        <v>0</v>
      </c>
      <c r="AT91" s="348" t="str">
        <f t="shared" si="42"/>
        <v/>
      </c>
      <c r="AU91" s="348" t="str">
        <f t="shared" si="43"/>
        <v/>
      </c>
      <c r="AV91" s="348">
        <f t="shared" si="44"/>
        <v>0</v>
      </c>
      <c r="AW91" s="348">
        <f t="shared" si="23"/>
        <v>0</v>
      </c>
      <c r="AX91" s="348">
        <f t="shared" si="24"/>
        <v>0</v>
      </c>
      <c r="AY91" s="330">
        <f t="shared" si="25"/>
        <v>0</v>
      </c>
      <c r="AZ91" s="330">
        <f t="shared" si="26"/>
        <v>0</v>
      </c>
      <c r="BA91" s="330">
        <f t="shared" si="27"/>
        <v>0</v>
      </c>
      <c r="BB91" s="330">
        <f t="shared" si="28"/>
        <v>0</v>
      </c>
      <c r="BC91" s="330">
        <f t="shared" si="29"/>
        <v>0</v>
      </c>
      <c r="BD91" s="330">
        <f t="shared" si="30"/>
        <v>0</v>
      </c>
      <c r="BE91" s="330">
        <f t="shared" si="45"/>
        <v>0</v>
      </c>
      <c r="BF91" s="330">
        <f t="shared" si="46"/>
        <v>0</v>
      </c>
      <c r="BG91" s="330">
        <f t="shared" si="31"/>
        <v>0</v>
      </c>
      <c r="BH91" s="330" t="str">
        <f t="shared" si="32"/>
        <v/>
      </c>
      <c r="BI91" s="330" t="str">
        <f t="shared" si="47"/>
        <v/>
      </c>
      <c r="BJ91" s="330" t="str">
        <f t="shared" si="48"/>
        <v/>
      </c>
      <c r="BK91" s="330" t="str">
        <f t="shared" si="33"/>
        <v/>
      </c>
      <c r="BL91" s="330" t="str">
        <f t="shared" si="34"/>
        <v/>
      </c>
      <c r="BM91" s="330" t="str">
        <f t="shared" si="49"/>
        <v/>
      </c>
      <c r="BN91" s="330" t="str">
        <f t="shared" si="54"/>
        <v/>
      </c>
      <c r="BO91" s="330">
        <f t="shared" si="35"/>
        <v>0</v>
      </c>
      <c r="BP91" s="330">
        <f t="shared" si="36"/>
        <v>0</v>
      </c>
      <c r="BQ91" s="330">
        <f t="shared" si="37"/>
        <v>0</v>
      </c>
      <c r="BR91" s="330" t="str">
        <f t="shared" si="38"/>
        <v/>
      </c>
      <c r="BS91" s="432" t="str">
        <f t="shared" si="50"/>
        <v/>
      </c>
    </row>
    <row r="92" spans="1:71" ht="18.600000000000001" customHeight="1" thickTop="1" thickBot="1">
      <c r="A92" s="968" t="s">
        <v>931</v>
      </c>
      <c r="B92" s="968"/>
      <c r="C92" s="968"/>
      <c r="D92" s="968"/>
      <c r="E92" s="968"/>
      <c r="F92" s="968"/>
      <c r="G92" s="968"/>
      <c r="H92" s="968"/>
      <c r="I92" s="968"/>
      <c r="J92" s="968"/>
      <c r="L92" s="793">
        <f>$L$87+$L$88+$L$89+$L$90+$L$91</f>
        <v>0</v>
      </c>
      <c r="M92" s="794">
        <f>$M$87+$M$88+$M$89+$M$90+$M$91</f>
        <v>0</v>
      </c>
      <c r="N92" s="273" t="s">
        <v>1253</v>
      </c>
      <c r="O92" s="963" t="s">
        <v>989</v>
      </c>
      <c r="P92" s="964"/>
      <c r="Q92" s="964"/>
      <c r="R92" s="964"/>
      <c r="S92" s="964"/>
      <c r="T92" s="964"/>
      <c r="U92" s="964"/>
      <c r="V92" s="964"/>
      <c r="W92" s="964"/>
      <c r="X92" s="964"/>
      <c r="Y92" s="964"/>
      <c r="Z92" s="965"/>
      <c r="AA92" s="134"/>
      <c r="AB92" s="412" t="s">
        <v>733</v>
      </c>
      <c r="AC92" s="357" t="s">
        <v>732</v>
      </c>
      <c r="AD92" s="357" t="s">
        <v>733</v>
      </c>
      <c r="AE92" s="357" t="s">
        <v>732</v>
      </c>
      <c r="AF92" s="357" t="s">
        <v>733</v>
      </c>
      <c r="AG92" s="358" t="s">
        <v>732</v>
      </c>
      <c r="AI92" s="364">
        <v>47</v>
      </c>
      <c r="AJ92" s="330">
        <f t="shared" si="39"/>
        <v>0</v>
      </c>
      <c r="AK92" s="344" t="str">
        <f t="shared" si="20"/>
        <v>None</v>
      </c>
      <c r="AL92" s="330">
        <f t="shared" si="58"/>
        <v>0</v>
      </c>
      <c r="AM92" s="336">
        <f t="shared" si="51"/>
        <v>0</v>
      </c>
      <c r="AN92" s="330">
        <f t="shared" si="59"/>
        <v>0</v>
      </c>
      <c r="AO92" s="437">
        <f t="shared" si="52"/>
        <v>0</v>
      </c>
      <c r="AP92" s="348" t="b">
        <f t="shared" si="53"/>
        <v>0</v>
      </c>
      <c r="AQ92" s="348">
        <f t="shared" si="21"/>
        <v>0</v>
      </c>
      <c r="AR92" s="348">
        <f t="shared" si="22"/>
        <v>0</v>
      </c>
      <c r="AS92" s="348">
        <f t="shared" si="41"/>
        <v>0</v>
      </c>
      <c r="AT92" s="348" t="str">
        <f t="shared" si="42"/>
        <v/>
      </c>
      <c r="AU92" s="348" t="str">
        <f t="shared" si="43"/>
        <v/>
      </c>
      <c r="AV92" s="348">
        <f t="shared" si="44"/>
        <v>0</v>
      </c>
      <c r="AW92" s="348">
        <f t="shared" si="23"/>
        <v>0</v>
      </c>
      <c r="AX92" s="348">
        <f t="shared" si="24"/>
        <v>0</v>
      </c>
      <c r="AY92" s="330">
        <f t="shared" si="25"/>
        <v>0</v>
      </c>
      <c r="AZ92" s="330">
        <f t="shared" si="26"/>
        <v>0</v>
      </c>
      <c r="BA92" s="330">
        <f t="shared" si="27"/>
        <v>0</v>
      </c>
      <c r="BB92" s="330">
        <f t="shared" si="28"/>
        <v>0</v>
      </c>
      <c r="BC92" s="330">
        <f t="shared" si="29"/>
        <v>0</v>
      </c>
      <c r="BD92" s="330">
        <f t="shared" si="30"/>
        <v>0</v>
      </c>
      <c r="BE92" s="330">
        <f t="shared" si="45"/>
        <v>0</v>
      </c>
      <c r="BF92" s="330">
        <f t="shared" si="46"/>
        <v>0</v>
      </c>
      <c r="BG92" s="330">
        <f t="shared" si="31"/>
        <v>0</v>
      </c>
      <c r="BH92" s="330" t="str">
        <f t="shared" si="32"/>
        <v/>
      </c>
      <c r="BI92" s="330" t="str">
        <f t="shared" si="47"/>
        <v/>
      </c>
      <c r="BJ92" s="330" t="str">
        <f t="shared" si="48"/>
        <v/>
      </c>
      <c r="BK92" s="330" t="str">
        <f t="shared" si="33"/>
        <v/>
      </c>
      <c r="BL92" s="330" t="str">
        <f t="shared" si="34"/>
        <v/>
      </c>
      <c r="BM92" s="330" t="str">
        <f t="shared" si="49"/>
        <v/>
      </c>
      <c r="BN92" s="330" t="str">
        <f t="shared" si="54"/>
        <v/>
      </c>
      <c r="BO92" s="330">
        <f t="shared" si="35"/>
        <v>0</v>
      </c>
      <c r="BP92" s="330">
        <f t="shared" si="36"/>
        <v>0</v>
      </c>
      <c r="BQ92" s="330">
        <f t="shared" si="37"/>
        <v>0</v>
      </c>
      <c r="BR92" s="330" t="str">
        <f t="shared" si="38"/>
        <v/>
      </c>
      <c r="BS92" s="432" t="str">
        <f t="shared" si="50"/>
        <v/>
      </c>
    </row>
    <row r="93" spans="1:71" ht="16.5" thickBot="1">
      <c r="A93" s="677"/>
      <c r="B93" s="705"/>
      <c r="C93" s="705"/>
      <c r="D93" s="705"/>
      <c r="E93" s="706"/>
      <c r="F93" s="707"/>
      <c r="G93" s="707" t="s">
        <v>935</v>
      </c>
      <c r="H93" s="705"/>
      <c r="I93" s="677"/>
      <c r="J93" s="705"/>
      <c r="K93" s="421" t="str">
        <f>IF(OR($B$95&lt;&gt;"",$B$96&lt;&gt;"",$B$97&lt;&gt;"",$B$98&lt;&gt;""),"NOTE -- The page is not formatted to print the Interaction Forces","")</f>
        <v/>
      </c>
      <c r="O93" s="317"/>
      <c r="P93" s="357" t="s">
        <v>1010</v>
      </c>
      <c r="Q93" s="357" t="s">
        <v>1004</v>
      </c>
      <c r="R93" s="357" t="s">
        <v>1012</v>
      </c>
      <c r="S93" s="357" t="s">
        <v>685</v>
      </c>
      <c r="T93" s="357" t="s">
        <v>988</v>
      </c>
      <c r="U93" s="357" t="s">
        <v>1011</v>
      </c>
      <c r="V93" s="357" t="s">
        <v>1018</v>
      </c>
      <c r="W93" s="357" t="s">
        <v>737</v>
      </c>
      <c r="X93" s="357" t="s">
        <v>1016</v>
      </c>
      <c r="Y93" s="357" t="s">
        <v>1019</v>
      </c>
      <c r="Z93" s="358" t="s">
        <v>1013</v>
      </c>
      <c r="AA93" s="628" t="s">
        <v>767</v>
      </c>
      <c r="AB93" s="629">
        <f>IF($P$94="",0,$P$94)</f>
        <v>0</v>
      </c>
      <c r="AC93" s="330">
        <f>IF($Q$94="",$C$13,$Q$94)</f>
        <v>0</v>
      </c>
      <c r="AD93" s="330">
        <f>IF($P$95="",0,$P$95)</f>
        <v>0</v>
      </c>
      <c r="AE93" s="330">
        <f>IF($Q$95="",$C$13,$Q$95)</f>
        <v>0</v>
      </c>
      <c r="AF93" s="330">
        <f>IF($P$96="",0,$P$96)</f>
        <v>0</v>
      </c>
      <c r="AG93" s="432">
        <f>IF($Q$96="",$C$13,$Q$96)</f>
        <v>0</v>
      </c>
      <c r="AI93" s="364">
        <v>48</v>
      </c>
      <c r="AJ93" s="330">
        <f t="shared" si="39"/>
        <v>0</v>
      </c>
      <c r="AK93" s="344" t="str">
        <f t="shared" si="20"/>
        <v>None</v>
      </c>
      <c r="AL93" s="330">
        <f t="shared" si="58"/>
        <v>0</v>
      </c>
      <c r="AM93" s="336">
        <f t="shared" si="51"/>
        <v>0</v>
      </c>
      <c r="AN93" s="330">
        <f t="shared" si="59"/>
        <v>0</v>
      </c>
      <c r="AO93" s="437">
        <f t="shared" si="52"/>
        <v>0</v>
      </c>
      <c r="AP93" s="348" t="b">
        <f t="shared" si="53"/>
        <v>0</v>
      </c>
      <c r="AQ93" s="348">
        <f t="shared" si="21"/>
        <v>0</v>
      </c>
      <c r="AR93" s="348">
        <f t="shared" si="22"/>
        <v>0</v>
      </c>
      <c r="AS93" s="348">
        <f t="shared" si="41"/>
        <v>0</v>
      </c>
      <c r="AT93" s="348" t="str">
        <f t="shared" si="42"/>
        <v/>
      </c>
      <c r="AU93" s="348" t="str">
        <f t="shared" si="43"/>
        <v/>
      </c>
      <c r="AV93" s="348">
        <f t="shared" si="44"/>
        <v>0</v>
      </c>
      <c r="AW93" s="348">
        <f t="shared" si="23"/>
        <v>0</v>
      </c>
      <c r="AX93" s="348">
        <f t="shared" si="24"/>
        <v>0</v>
      </c>
      <c r="AY93" s="330">
        <f t="shared" si="25"/>
        <v>0</v>
      </c>
      <c r="AZ93" s="330">
        <f t="shared" si="26"/>
        <v>0</v>
      </c>
      <c r="BA93" s="330">
        <f t="shared" si="27"/>
        <v>0</v>
      </c>
      <c r="BB93" s="330">
        <f t="shared" si="28"/>
        <v>0</v>
      </c>
      <c r="BC93" s="330">
        <f t="shared" si="29"/>
        <v>0</v>
      </c>
      <c r="BD93" s="330">
        <f t="shared" si="30"/>
        <v>0</v>
      </c>
      <c r="BE93" s="330">
        <f t="shared" si="45"/>
        <v>0</v>
      </c>
      <c r="BF93" s="330">
        <f t="shared" si="46"/>
        <v>0</v>
      </c>
      <c r="BG93" s="330">
        <f t="shared" si="31"/>
        <v>0</v>
      </c>
      <c r="BH93" s="330" t="str">
        <f t="shared" si="32"/>
        <v/>
      </c>
      <c r="BI93" s="330" t="str">
        <f t="shared" si="47"/>
        <v/>
      </c>
      <c r="BJ93" s="330" t="str">
        <f t="shared" si="48"/>
        <v/>
      </c>
      <c r="BK93" s="330" t="str">
        <f t="shared" si="33"/>
        <v/>
      </c>
      <c r="BL93" s="330" t="str">
        <f t="shared" si="34"/>
        <v/>
      </c>
      <c r="BM93" s="330" t="str">
        <f t="shared" si="49"/>
        <v/>
      </c>
      <c r="BN93" s="330" t="str">
        <f t="shared" si="54"/>
        <v/>
      </c>
      <c r="BO93" s="330">
        <f t="shared" si="35"/>
        <v>0</v>
      </c>
      <c r="BP93" s="330">
        <f t="shared" si="36"/>
        <v>0</v>
      </c>
      <c r="BQ93" s="330">
        <f t="shared" si="37"/>
        <v>0</v>
      </c>
      <c r="BR93" s="330" t="str">
        <f t="shared" si="38"/>
        <v/>
      </c>
      <c r="BS93" s="432" t="str">
        <f t="shared" si="50"/>
        <v/>
      </c>
    </row>
    <row r="94" spans="1:71" ht="15" thickBot="1">
      <c r="A94" s="577" t="s">
        <v>945</v>
      </c>
      <c r="B94" s="168" t="s">
        <v>932</v>
      </c>
      <c r="C94" s="561" t="s">
        <v>947</v>
      </c>
      <c r="D94" s="560" t="s">
        <v>1123</v>
      </c>
      <c r="E94" s="560" t="s">
        <v>933</v>
      </c>
      <c r="F94" s="560" t="s">
        <v>934</v>
      </c>
      <c r="G94" s="552" t="s">
        <v>933</v>
      </c>
      <c r="H94" s="677"/>
      <c r="I94" s="553" t="s">
        <v>934</v>
      </c>
      <c r="J94" s="706"/>
      <c r="L94" s="276" t="s">
        <v>762</v>
      </c>
      <c r="M94" s="189"/>
      <c r="O94" s="364" t="s">
        <v>985</v>
      </c>
      <c r="P94" s="348" t="str">
        <f>IF(OR($F$25="",$C87=""),"",$AE$49-(($C87*$M$19)*$M$17))</f>
        <v/>
      </c>
      <c r="Q94" s="348" t="str">
        <f>IF(OR($G$25="",$C87=""),"",IF($A87="Behind",MIN($R94,$S94),IF($A87="Deadman",(MIN($R94,$S94))-($F$22+1),$R94+$F$22)))</f>
        <v/>
      </c>
      <c r="R94" s="348" t="str">
        <f>IF($P94="","",($AF$49+(($P94-$AE$49)*$AA$40))-($F$22/2))</f>
        <v/>
      </c>
      <c r="S94" s="348" t="str">
        <f>IF($P94="","",IF($P94&lt;$B$14,(($P94-$B$13)*$AB$31)+$C$13,IF($P94&lt;$B$15,(($P94-$B$14)*$AB$32)+$C$14,IF($P94&lt;$B$16,(($P94-$B$15)*$AB$33)+$C$15,IF($P94&lt;$B$17,(($P94-$B$16)*$AB$34)+$C$16,IF($P94&lt;$B$18,(($P94-$B$17)*$AB$35)+$C$17,IF($P94&lt;$B$19,(($P94-$B$18)*$AB$36)+$C$18)))))))</f>
        <v/>
      </c>
      <c r="T94" s="348" t="str">
        <f>IF($Q94="","",IF(($Q94+$B87-$AE$8)&gt;=$B87,$B87,IF(($Q94+$B87)&gt;$AE$8,($Q94+$B87)-$AE$8,0)))</f>
        <v/>
      </c>
      <c r="U94" s="348" t="str">
        <f>IF($T94="","",IF($T94&gt;=$B87,0,(PI()/3)*(($B87-$T94)^2)*((1.5*$B87)-($B87-$T94))))</f>
        <v/>
      </c>
      <c r="V94" s="330" t="str">
        <f>IF($C87="","",IF($A87="Deadman",0,IF($Q94&gt;=$AE$8,PI()*(($B87/2)^2),((($B87/2)^2)*ACOS((($B87/2)-$T94)/($B87/2)))-((($B87/2)-$T94)*SQRT(2*($B87/2)*$T94-($T94^2))))))</f>
        <v/>
      </c>
      <c r="W94" s="344" t="str">
        <f>IF($P94="","",IF(OR($C$19="",$F$25="",$G$25=""),"None",IF($P94&lt;$B$14,"Left Floodplain",IF($P94&lt;$B$15,"Left Bank",IF($P94&lt;$B$16,"Left Stream Bed",IF($P94&lt;$B$17,"Right Stream Bed",IF($P94&lt;$B$18,"Right Bank","Right Floodplain")))))))</f>
        <v/>
      </c>
      <c r="X94" s="348" t="str">
        <f>IF($Q94="","",IF(($Q94+$B87)&lt;=$S94,$B87,IF($Q94&gt;=$S94,0,$S94-$Q94)))</f>
        <v/>
      </c>
      <c r="Y94" s="330" t="str">
        <f>IF($C87="","",IF($A87="Deadman",PI()*(($B87/2)^2),IF($Q94&gt;$S94,0,((($B87/2)^2)*ACOS((($B87/2)-$X94)/($B87/2)))-((($B87/2)-$X94)*SQRT(2*($B87/2)*$X94-($X94^2))))))</f>
        <v/>
      </c>
      <c r="Z94" s="432" t="str">
        <f>IF($C87="","",IF(((PI()*(($B87/2)^2))-$V94-$Y94)&lt;0,0,(PI()*(($B87/2)^2))-$V94-$Y94))</f>
        <v/>
      </c>
      <c r="AA94" s="628" t="s">
        <v>768</v>
      </c>
      <c r="AB94" s="629">
        <f>IF($AB$93="",0,$AB$93-($B$87/4))</f>
        <v>0</v>
      </c>
      <c r="AC94" s="330">
        <f>IF($AC$93="",$C$13,$AC$93+($B$87/25))</f>
        <v>0</v>
      </c>
      <c r="AD94" s="330">
        <f>IF($AD$93="",0,$AD$93-($B$88/4))</f>
        <v>0</v>
      </c>
      <c r="AE94" s="330">
        <f>IF($AE$93="",$C$13,$AE$93+($B$88/25))</f>
        <v>0</v>
      </c>
      <c r="AF94" s="330">
        <f>IF($AF$93="",0,$AF$93-($B$89/4))</f>
        <v>0</v>
      </c>
      <c r="AG94" s="432">
        <f>IF($AG$93="",$C$13,$AG$93+($B$89/25))</f>
        <v>0</v>
      </c>
      <c r="AI94" s="364">
        <v>49</v>
      </c>
      <c r="AJ94" s="330">
        <f t="shared" si="39"/>
        <v>0</v>
      </c>
      <c r="AK94" s="344" t="str">
        <f t="shared" si="20"/>
        <v>None</v>
      </c>
      <c r="AL94" s="330">
        <f t="shared" si="58"/>
        <v>0</v>
      </c>
      <c r="AM94" s="336">
        <f t="shared" si="51"/>
        <v>0</v>
      </c>
      <c r="AN94" s="330">
        <f t="shared" si="59"/>
        <v>0</v>
      </c>
      <c r="AO94" s="437">
        <f t="shared" si="52"/>
        <v>0</v>
      </c>
      <c r="AP94" s="348" t="b">
        <f t="shared" si="53"/>
        <v>0</v>
      </c>
      <c r="AQ94" s="348">
        <f t="shared" si="21"/>
        <v>0</v>
      </c>
      <c r="AR94" s="348">
        <f t="shared" si="22"/>
        <v>0</v>
      </c>
      <c r="AS94" s="348">
        <f t="shared" si="41"/>
        <v>0</v>
      </c>
      <c r="AT94" s="348" t="str">
        <f t="shared" si="42"/>
        <v/>
      </c>
      <c r="AU94" s="348" t="str">
        <f t="shared" si="43"/>
        <v/>
      </c>
      <c r="AV94" s="348">
        <f t="shared" si="44"/>
        <v>0</v>
      </c>
      <c r="AW94" s="348">
        <f t="shared" si="23"/>
        <v>0</v>
      </c>
      <c r="AX94" s="348">
        <f t="shared" si="24"/>
        <v>0</v>
      </c>
      <c r="AY94" s="330">
        <f t="shared" si="25"/>
        <v>0</v>
      </c>
      <c r="AZ94" s="330">
        <f t="shared" si="26"/>
        <v>0</v>
      </c>
      <c r="BA94" s="330">
        <f t="shared" si="27"/>
        <v>0</v>
      </c>
      <c r="BB94" s="330">
        <f t="shared" si="28"/>
        <v>0</v>
      </c>
      <c r="BC94" s="330">
        <f t="shared" si="29"/>
        <v>0</v>
      </c>
      <c r="BD94" s="330">
        <f t="shared" si="30"/>
        <v>0</v>
      </c>
      <c r="BE94" s="330">
        <f t="shared" si="45"/>
        <v>0</v>
      </c>
      <c r="BF94" s="330">
        <f t="shared" si="46"/>
        <v>0</v>
      </c>
      <c r="BG94" s="330">
        <f t="shared" si="31"/>
        <v>0</v>
      </c>
      <c r="BH94" s="330" t="str">
        <f t="shared" si="32"/>
        <v/>
      </c>
      <c r="BI94" s="330" t="str">
        <f t="shared" si="47"/>
        <v/>
      </c>
      <c r="BJ94" s="330" t="str">
        <f t="shared" si="48"/>
        <v/>
      </c>
      <c r="BK94" s="330" t="str">
        <f t="shared" si="33"/>
        <v/>
      </c>
      <c r="BL94" s="330" t="str">
        <f t="shared" si="34"/>
        <v/>
      </c>
      <c r="BM94" s="330" t="str">
        <f t="shared" si="49"/>
        <v/>
      </c>
      <c r="BN94" s="330" t="str">
        <f t="shared" si="54"/>
        <v/>
      </c>
      <c r="BO94" s="330">
        <f t="shared" si="35"/>
        <v>0</v>
      </c>
      <c r="BP94" s="330">
        <f t="shared" si="36"/>
        <v>0</v>
      </c>
      <c r="BQ94" s="330">
        <f t="shared" si="37"/>
        <v>0</v>
      </c>
      <c r="BR94" s="330" t="str">
        <f t="shared" si="38"/>
        <v/>
      </c>
      <c r="BS94" s="432" t="str">
        <f t="shared" si="50"/>
        <v/>
      </c>
    </row>
    <row r="95" spans="1:71">
      <c r="A95" s="578"/>
      <c r="B95" s="538"/>
      <c r="C95" s="562"/>
      <c r="D95" s="565"/>
      <c r="E95" s="235"/>
      <c r="F95" s="237"/>
      <c r="G95" s="557">
        <f>IF(OR($E$95="",$E$95=0),0,IF($C$95="Pinned",ABS($E$95),IF(AND($C$95="Gravity",$B$95="Below",$E$95&gt;=0),ABS($E$95),IF(AND($C$95="Gravity",$B$95="Above",$E$95&lt;=0),ABS($E$95),0))))</f>
        <v>0</v>
      </c>
      <c r="H95" s="708" t="str">
        <f>IF($L$95=0,"",IF($L$95&gt;0,CHAR(233),CHAR(234)))</f>
        <v/>
      </c>
      <c r="I95" s="554">
        <f>IF(OR($F$95="",$F$95=0),0,IF($C$95="Pinned",ABS($F$95),IF(AND($C$95="Gravity",$B$95="Behind",$F$95&lt;0),ABS($F$95),IF(AND($C$95="Gravity",$B$95="In front",$F$95&gt;0),ABS($F$95),0))))</f>
        <v>0</v>
      </c>
      <c r="J95" s="709" t="str">
        <f>IF($M$95=0,"",IF($M$95&gt;=0,CHAR(232),CHAR(231)))</f>
        <v/>
      </c>
      <c r="L95" s="568">
        <f>IF($G$95=0,0,$E$95)</f>
        <v>0</v>
      </c>
      <c r="M95" s="568">
        <f>IF($I$95=0,0,$F$95)</f>
        <v>0</v>
      </c>
      <c r="O95" s="412" t="s">
        <v>986</v>
      </c>
      <c r="P95" s="348" t="str">
        <f>IF(OR($F$25="",$C88=""),"",$AE$49-(($C88*$M$19)*$M$17))</f>
        <v/>
      </c>
      <c r="Q95" s="348" t="str">
        <f>IF(OR($G$25="",$C88=""),"",IF($A88="Behind",MIN($R95,$S95),IF($A88="Deadman",(MIN($R95,$S95))-($F$22+1),$R95+$F$22)))</f>
        <v/>
      </c>
      <c r="R95" s="348" t="str">
        <f t="shared" ref="R95" si="62">IF($P95="","",($AF$49+(($P95-$AE$49)*$AA$40))-($F$22/2))</f>
        <v/>
      </c>
      <c r="S95" s="348" t="str">
        <f t="shared" ref="S95" si="63">IF($P95="","",IF($P95&lt;$B$14,(($P95-$B$13)*$AB$31)+$C$13,IF($P95&lt;$B$15,(($P95-$B$14)*$AB$32)+$C$14,IF($P95&lt;$B$16,(($P95-$B$15)*$AB$33)+$C$15,IF($P95&lt;$B$17,(($P95-$B$16)*$AB$34)+$C$16,IF($P95&lt;$B$18,(($P95-$B$17)*$AB$35)+$C$17,IF($P95&lt;$B$19,(($P95-$B$18)*$AB$36)+$C$18)))))))</f>
        <v/>
      </c>
      <c r="T95" s="348" t="str">
        <f>IF($Q95="","",IF(($Q95+$B88-$AE$8)&gt;=$B88,$B88,IF(($Q95+$B88)&gt;$AE$8,($Q95+$B88)-$AE$8,0)))</f>
        <v/>
      </c>
      <c r="U95" s="348" t="str">
        <f>IF($T95="","",IF($T95&gt;=$B88,0,(PI()/3)*(($B88-$T95)^2)*((1.5*$B88)-($B88-$T95))))</f>
        <v/>
      </c>
      <c r="V95" s="330" t="str">
        <f>IF($C88="","",IF($A88="Deadman",0,IF($Q95&gt;=$AE$8,PI()*(($B88/2)^2),((($B88/2)^2)*ACOS((($B88/2)-$T95)/($B88/2)))-((($B88/2)-$T95)*SQRT(2*($B88/2)*$T95-($T95^2))))))</f>
        <v/>
      </c>
      <c r="W95" s="344" t="str">
        <f t="shared" ref="W95" si="64">IF($P95="","",IF(OR($C$19="",$F$25="",$G$25=""),"None",IF($P95&lt;$B$14,"Left Floodplain",IF($P95&lt;$B$15,"Left Bank",IF($P95&lt;$B$16,"Left Stream Bed",IF($P95&lt;$B$17,"Right Stream Bed",IF($P95&lt;$B$18,"Right Bank","Right Floodplain")))))))</f>
        <v/>
      </c>
      <c r="X95" s="348" t="str">
        <f>IF($Q95="","",IF(($Q95+$B88)&lt;=$S95,$B88,IF($Q95&gt;=$S95,0,$S95-$Q95)))</f>
        <v/>
      </c>
      <c r="Y95" s="330" t="str">
        <f>IF($C88="","",IF($A88="Deadman",PI()*(($B88/2)^2),IF($Q95&gt;$S95,0,((($B88/2)^2)*ACOS((($B88/2)-$X95)/($B88/2)))-((($B88/2)-$X95)*SQRT(2*($B88/2)*$X95-($X95^2))))))</f>
        <v/>
      </c>
      <c r="Z95" s="432" t="str">
        <f>IF($C88="","",IF(((PI()*(($B88/2)^2))-$V95-$Y95)&lt;0,0,(PI()*(($B88/2)^2))-$V95-$Y95))</f>
        <v/>
      </c>
      <c r="AA95" s="628" t="s">
        <v>769</v>
      </c>
      <c r="AB95" s="629">
        <f>IF($AB$93="",0,$AB$93-($B$87/2))</f>
        <v>0</v>
      </c>
      <c r="AC95" s="330">
        <f>IF($AC$93="",$C$13,$AC$93+($B$87/2))</f>
        <v>0</v>
      </c>
      <c r="AD95" s="330">
        <f>IF($AD$93="",0,$AD$93-($B$88/2))</f>
        <v>0</v>
      </c>
      <c r="AE95" s="330">
        <f>IF($AE$93="",$C$13,$AE$93+($B$88/2))</f>
        <v>0</v>
      </c>
      <c r="AF95" s="330">
        <f>IF($AF$93="",0,$AF$93-($B$89/2))</f>
        <v>0</v>
      </c>
      <c r="AG95" s="432">
        <f>IF($AG$93="",$C$13,$AG$93+($B$89/2))</f>
        <v>0</v>
      </c>
      <c r="AI95" s="364">
        <v>50</v>
      </c>
      <c r="AJ95" s="330">
        <f t="shared" si="39"/>
        <v>0</v>
      </c>
      <c r="AK95" s="344" t="str">
        <f t="shared" si="20"/>
        <v>None</v>
      </c>
      <c r="AL95" s="330">
        <f t="shared" si="58"/>
        <v>0</v>
      </c>
      <c r="AM95" s="336">
        <f t="shared" si="51"/>
        <v>0</v>
      </c>
      <c r="AN95" s="330">
        <f t="shared" si="59"/>
        <v>0</v>
      </c>
      <c r="AO95" s="437">
        <f t="shared" si="52"/>
        <v>0</v>
      </c>
      <c r="AP95" s="348" t="b">
        <f t="shared" si="53"/>
        <v>0</v>
      </c>
      <c r="AQ95" s="348">
        <f t="shared" si="21"/>
        <v>0</v>
      </c>
      <c r="AR95" s="348">
        <f t="shared" si="22"/>
        <v>0</v>
      </c>
      <c r="AS95" s="348">
        <f t="shared" si="41"/>
        <v>0</v>
      </c>
      <c r="AT95" s="348" t="str">
        <f t="shared" si="42"/>
        <v/>
      </c>
      <c r="AU95" s="348" t="str">
        <f t="shared" si="43"/>
        <v/>
      </c>
      <c r="AV95" s="348">
        <f t="shared" si="44"/>
        <v>0</v>
      </c>
      <c r="AW95" s="348">
        <f t="shared" si="23"/>
        <v>0</v>
      </c>
      <c r="AX95" s="348">
        <f t="shared" si="24"/>
        <v>0</v>
      </c>
      <c r="AY95" s="330">
        <f t="shared" si="25"/>
        <v>0</v>
      </c>
      <c r="AZ95" s="330">
        <f t="shared" si="26"/>
        <v>0</v>
      </c>
      <c r="BA95" s="330">
        <f t="shared" si="27"/>
        <v>0</v>
      </c>
      <c r="BB95" s="330">
        <f t="shared" si="28"/>
        <v>0</v>
      </c>
      <c r="BC95" s="330">
        <f t="shared" si="29"/>
        <v>0</v>
      </c>
      <c r="BD95" s="330">
        <f t="shared" si="30"/>
        <v>0</v>
      </c>
      <c r="BE95" s="330">
        <f t="shared" si="45"/>
        <v>0</v>
      </c>
      <c r="BF95" s="330">
        <f t="shared" si="46"/>
        <v>0</v>
      </c>
      <c r="BG95" s="330">
        <f t="shared" si="31"/>
        <v>0</v>
      </c>
      <c r="BH95" s="330" t="str">
        <f t="shared" si="32"/>
        <v/>
      </c>
      <c r="BI95" s="330" t="str">
        <f t="shared" si="47"/>
        <v/>
      </c>
      <c r="BJ95" s="330" t="str">
        <f t="shared" si="48"/>
        <v/>
      </c>
      <c r="BK95" s="330" t="str">
        <f t="shared" si="33"/>
        <v/>
      </c>
      <c r="BL95" s="330" t="str">
        <f t="shared" si="34"/>
        <v/>
      </c>
      <c r="BM95" s="330" t="str">
        <f t="shared" si="49"/>
        <v/>
      </c>
      <c r="BN95" s="330" t="str">
        <f t="shared" si="54"/>
        <v/>
      </c>
      <c r="BO95" s="330">
        <f t="shared" si="35"/>
        <v>0</v>
      </c>
      <c r="BP95" s="330">
        <f t="shared" si="36"/>
        <v>0</v>
      </c>
      <c r="BQ95" s="330">
        <f t="shared" si="37"/>
        <v>0</v>
      </c>
      <c r="BR95" s="330" t="str">
        <f t="shared" si="38"/>
        <v/>
      </c>
      <c r="BS95" s="432" t="str">
        <f t="shared" si="50"/>
        <v/>
      </c>
    </row>
    <row r="96" spans="1:71" ht="13.5" thickBot="1">
      <c r="A96" s="579"/>
      <c r="B96" s="551"/>
      <c r="C96" s="563"/>
      <c r="D96" s="566"/>
      <c r="E96" s="236"/>
      <c r="F96" s="238"/>
      <c r="G96" s="558">
        <f>IF(OR($E$96="",$E$96=0),0,IF($C$96="Pinned",ABS($E$96),IF(AND($C$96="Gravity",$B$96="Below",$E$96&gt;=0),ABS($E$96),IF(AND($C$96="Gravity",$B$96="Above",$E$96&lt;=0),ABS($E$96),0))))</f>
        <v>0</v>
      </c>
      <c r="H96" s="708" t="str">
        <f>IF($L$96=0,"",IF($L$96&gt;0,CHAR(233),CHAR(234)))</f>
        <v/>
      </c>
      <c r="I96" s="555">
        <f>IF(OR($F$96="",$F$96=0),0,IF($C$96="Pinned",ABS($F$96),IF(AND($C$96="Gravity",$B$96="Behind",$F$96&lt;0),ABS($F$96),IF(AND($C$96="Gravity",$B$96="In front",$F$96&gt;0),ABS($F$96),0))))</f>
        <v>0</v>
      </c>
      <c r="J96" s="709" t="str">
        <f>IF($M$96=0,"",IF($M$96&gt;=0,CHAR(232),CHAR(231)))</f>
        <v/>
      </c>
      <c r="L96" s="569">
        <f>IF($G$96=0,0,$E$96)</f>
        <v>0</v>
      </c>
      <c r="M96" s="569">
        <f>IF($I$96=0,0,$F$96)</f>
        <v>0</v>
      </c>
      <c r="O96" s="364" t="s">
        <v>987</v>
      </c>
      <c r="P96" s="348" t="str">
        <f>IF(OR($F$25="",$C89=""),"",$AE$49-(($C89*$M$19)*$M$17))</f>
        <v/>
      </c>
      <c r="Q96" s="348" t="str">
        <f>IF(OR($G$25="",$C89=""),"",IF($A89="Behind",MIN($R96,$S96),IF($A89="Deadman",(MIN($R96,$S96))-($F$22+1),$R96+$F$22)))</f>
        <v/>
      </c>
      <c r="R96" s="355" t="str">
        <f>IF($P96="","",($AF$49+(($P96-$AE$49)*$AA$40))-($F$22/2))</f>
        <v/>
      </c>
      <c r="S96" s="355" t="str">
        <f>IF($P96="","",IF($P96&lt;$B$14,(($P96-$B$13)*$AB$31)+$C$13,IF($P96&lt;$B$15,(($P96-$B$14)*$AB$32)+$C$14,IF($P96&lt;$B$16,(($P96-$B$15)*$AB$33)+$C$15,IF($P96&lt;$B$17,(($P96-$B$16)*$AB$34)+$C$16,IF($P96&lt;$B$18,(($P96-$B$17)*$AB$35)+$C$17,IF($P96&lt;$B$19,(($P96-$B$18)*$AB$36)+$C$18)))))))</f>
        <v/>
      </c>
      <c r="T96" s="355" t="str">
        <f>IF($Q96="","",IF(($Q96+$B89-$AE$8)&gt;=$B89,$B89,IF(($Q96+$B89)&gt;$AE$8,($Q96+$B89)-$AE$8,0)))</f>
        <v/>
      </c>
      <c r="U96" s="355" t="str">
        <f>IF($T96="","",IF($T96&gt;=$B89,0,(PI()/3)*(($B89-$T96)^2)*((1.5*$B89)-($B89-$T96))))</f>
        <v/>
      </c>
      <c r="V96" s="433" t="str">
        <f>IF($C89="","",IF($A89="Deadman",0,IF($Q96&gt;=$AE$8,PI()*(($B89/2)^2),((($B89/2)^2)*ACOS((($B89/2)-$T96)/($B89/2)))-((($B89/2)-$T96)*SQRT(2*($B89/2)*$T96-($T96^2))))))</f>
        <v/>
      </c>
      <c r="W96" s="409" t="str">
        <f>IF($P96="","",IF(OR($C$19="",$F$25="",$G$25=""),"None",IF($P96&lt;$B$14,"Left Floodplain",IF($P96&lt;$B$15,"Left Bank",IF($P96&lt;$B$16,"Left Stream Bed",IF($P96&lt;$B$17,"Right Stream Bed",IF($P96&lt;$B$18,"Right Bank","Right Floodplain")))))))</f>
        <v/>
      </c>
      <c r="X96" s="355" t="str">
        <f>IF($Q96="","",IF(($Q96+$B89)&lt;=$S96,$B89,IF($Q96&gt;=$S96,0,$S96-$Q96)))</f>
        <v/>
      </c>
      <c r="Y96" s="433" t="str">
        <f>IF($C89="","",IF($A89="Deadman",PI()*(($B89/2)^2),IF($Q96&gt;$S96,0,((($B89/2)^2)*ACOS((($B89/2)-$X96)/($B89/2)))-((($B89/2)-$X96)*SQRT(2*($B89/2)*$X96-($X96^2))))))</f>
        <v/>
      </c>
      <c r="Z96" s="376" t="str">
        <f>IF($C89="","",IF(((PI()*(($B89/2)^2))-$V96-$Y96)&lt;0,0,(PI()*(($B89/2)^2))-$V96-$Y96))</f>
        <v/>
      </c>
      <c r="AA96" s="628" t="s">
        <v>770</v>
      </c>
      <c r="AB96" s="629">
        <f>IF($AB$93="",0,$AB$94)</f>
        <v>0</v>
      </c>
      <c r="AC96" s="330">
        <f>IF($AC$97="",$C$13,$AC$97-($B$87/25))</f>
        <v>0</v>
      </c>
      <c r="AD96" s="330">
        <f>IF($AD$93="",0,$AD$94)</f>
        <v>0</v>
      </c>
      <c r="AE96" s="330">
        <f>IF($AE$97="",$C$13,$AE$97-($B$88/25))</f>
        <v>0</v>
      </c>
      <c r="AF96" s="330">
        <f>IF($AF$93="",0,$AF$94)</f>
        <v>0</v>
      </c>
      <c r="AG96" s="432">
        <f>IF($AG$97="",$C$13,$AG$97-($B$89/25))</f>
        <v>0</v>
      </c>
      <c r="AI96" s="364">
        <v>51</v>
      </c>
      <c r="AJ96" s="330">
        <f t="shared" si="39"/>
        <v>0</v>
      </c>
      <c r="AK96" s="344" t="str">
        <f t="shared" si="20"/>
        <v>None</v>
      </c>
      <c r="AL96" s="330">
        <f t="shared" si="58"/>
        <v>0</v>
      </c>
      <c r="AM96" s="336">
        <f t="shared" si="51"/>
        <v>0</v>
      </c>
      <c r="AN96" s="330">
        <f t="shared" si="59"/>
        <v>0</v>
      </c>
      <c r="AO96" s="437">
        <f t="shared" si="52"/>
        <v>0</v>
      </c>
      <c r="AP96" s="348" t="b">
        <f t="shared" si="53"/>
        <v>0</v>
      </c>
      <c r="AQ96" s="348">
        <f t="shared" si="21"/>
        <v>0</v>
      </c>
      <c r="AR96" s="348">
        <f t="shared" si="22"/>
        <v>0</v>
      </c>
      <c r="AS96" s="348">
        <f t="shared" si="41"/>
        <v>0</v>
      </c>
      <c r="AT96" s="348" t="str">
        <f t="shared" si="42"/>
        <v/>
      </c>
      <c r="AU96" s="348" t="str">
        <f t="shared" si="43"/>
        <v/>
      </c>
      <c r="AV96" s="348">
        <f t="shared" si="44"/>
        <v>0</v>
      </c>
      <c r="AW96" s="348">
        <f t="shared" si="23"/>
        <v>0</v>
      </c>
      <c r="AX96" s="348">
        <f t="shared" si="24"/>
        <v>0</v>
      </c>
      <c r="AY96" s="330">
        <f t="shared" si="25"/>
        <v>0</v>
      </c>
      <c r="AZ96" s="330">
        <f t="shared" si="26"/>
        <v>0</v>
      </c>
      <c r="BA96" s="330">
        <f t="shared" si="27"/>
        <v>0</v>
      </c>
      <c r="BB96" s="330">
        <f t="shared" si="28"/>
        <v>0</v>
      </c>
      <c r="BC96" s="330">
        <f t="shared" si="29"/>
        <v>0</v>
      </c>
      <c r="BD96" s="330">
        <f t="shared" si="30"/>
        <v>0</v>
      </c>
      <c r="BE96" s="330">
        <f t="shared" si="45"/>
        <v>0</v>
      </c>
      <c r="BF96" s="330">
        <f t="shared" si="46"/>
        <v>0</v>
      </c>
      <c r="BG96" s="330">
        <f t="shared" si="31"/>
        <v>0</v>
      </c>
      <c r="BH96" s="330" t="str">
        <f t="shared" si="32"/>
        <v/>
      </c>
      <c r="BI96" s="330" t="str">
        <f t="shared" si="47"/>
        <v/>
      </c>
      <c r="BJ96" s="330" t="str">
        <f t="shared" si="48"/>
        <v/>
      </c>
      <c r="BK96" s="330" t="str">
        <f t="shared" si="33"/>
        <v/>
      </c>
      <c r="BL96" s="330" t="str">
        <f t="shared" si="34"/>
        <v/>
      </c>
      <c r="BM96" s="330" t="str">
        <f t="shared" si="49"/>
        <v/>
      </c>
      <c r="BN96" s="330" t="str">
        <f t="shared" si="54"/>
        <v/>
      </c>
      <c r="BO96" s="330">
        <f t="shared" si="35"/>
        <v>0</v>
      </c>
      <c r="BP96" s="330">
        <f t="shared" si="36"/>
        <v>0</v>
      </c>
      <c r="BQ96" s="330">
        <f t="shared" si="37"/>
        <v>0</v>
      </c>
      <c r="BR96" s="330" t="str">
        <f t="shared" si="38"/>
        <v/>
      </c>
      <c r="BS96" s="432" t="str">
        <f t="shared" si="50"/>
        <v/>
      </c>
    </row>
    <row r="97" spans="1:71" ht="13.5" thickBot="1">
      <c r="A97" s="579"/>
      <c r="B97" s="551"/>
      <c r="C97" s="563"/>
      <c r="D97" s="566"/>
      <c r="E97" s="236"/>
      <c r="F97" s="238"/>
      <c r="G97" s="558">
        <f>IF(OR($E$97="",$E$97=0),0,IF($C$97="Pinned",ABS($E$97),IF(AND($C$97="Gravity",$B$97="Below",$E$97&gt;=0),ABS($E$97),IF(AND($C$97="Gravity",$B$97="Above",$E$97&lt;=0),ABS($E$97),0))))</f>
        <v>0</v>
      </c>
      <c r="H97" s="708" t="str">
        <f>IF($L$97=0,"",IF($L$97&gt;0,CHAR(233),CHAR(234)))</f>
        <v/>
      </c>
      <c r="I97" s="555">
        <f>IF(OR($F$97="",$F$97=0),0,IF($C$97="Pinned",ABS($F$97),IF(AND($C$97="Gravity",$B$97="Behind",$F$97&lt;0),ABS($F$97),IF(AND($C$97="Gravity",$B$97="In front",$F$97&gt;0),ABS($F$97),0))))</f>
        <v>0</v>
      </c>
      <c r="J97" s="709" t="str">
        <f>IF($M$97=0,"",IF($M$97&gt;=0,CHAR(232),CHAR(231)))</f>
        <v/>
      </c>
      <c r="L97" s="569">
        <f>IF($G$97=0,0,$E$97)</f>
        <v>0</v>
      </c>
      <c r="M97" s="569">
        <f>IF($I$97=0,0,$F$97)</f>
        <v>0</v>
      </c>
      <c r="O97" s="317"/>
      <c r="P97" s="134"/>
      <c r="Q97" s="316"/>
      <c r="AA97" s="628" t="s">
        <v>771</v>
      </c>
      <c r="AB97" s="629">
        <f>IF($AB$93="",0,$AB$93)</f>
        <v>0</v>
      </c>
      <c r="AC97" s="330">
        <f>IF($AC$93="",$C$13,$AC$93+$B$87)</f>
        <v>0</v>
      </c>
      <c r="AD97" s="330">
        <f>IF($AD$93="",0,$AD$93)</f>
        <v>0</v>
      </c>
      <c r="AE97" s="330">
        <f>IF($AE$93="",$C$13,$AE$93+$B$88)</f>
        <v>0</v>
      </c>
      <c r="AF97" s="330">
        <f>IF($AF$93="",0,$AF$93)</f>
        <v>0</v>
      </c>
      <c r="AG97" s="432">
        <f>IF($AG$93="",$C$13,$AG$93+$B$89)</f>
        <v>0</v>
      </c>
      <c r="AI97" s="364">
        <v>52</v>
      </c>
      <c r="AJ97" s="330">
        <f t="shared" si="39"/>
        <v>0</v>
      </c>
      <c r="AK97" s="344" t="str">
        <f t="shared" si="20"/>
        <v>None</v>
      </c>
      <c r="AL97" s="330">
        <f t="shared" si="58"/>
        <v>0</v>
      </c>
      <c r="AM97" s="336">
        <f t="shared" si="51"/>
        <v>0</v>
      </c>
      <c r="AN97" s="330">
        <f t="shared" si="59"/>
        <v>0</v>
      </c>
      <c r="AO97" s="437">
        <f t="shared" si="52"/>
        <v>0</v>
      </c>
      <c r="AP97" s="348" t="b">
        <f t="shared" si="53"/>
        <v>0</v>
      </c>
      <c r="AQ97" s="348">
        <f t="shared" si="21"/>
        <v>0</v>
      </c>
      <c r="AR97" s="348">
        <f t="shared" si="22"/>
        <v>0</v>
      </c>
      <c r="AS97" s="348">
        <f t="shared" si="41"/>
        <v>0</v>
      </c>
      <c r="AT97" s="348" t="str">
        <f t="shared" si="42"/>
        <v/>
      </c>
      <c r="AU97" s="348" t="str">
        <f t="shared" si="43"/>
        <v/>
      </c>
      <c r="AV97" s="348">
        <f t="shared" si="44"/>
        <v>0</v>
      </c>
      <c r="AW97" s="348">
        <f t="shared" si="23"/>
        <v>0</v>
      </c>
      <c r="AX97" s="348">
        <f t="shared" si="24"/>
        <v>0</v>
      </c>
      <c r="AY97" s="330">
        <f t="shared" si="25"/>
        <v>0</v>
      </c>
      <c r="AZ97" s="330">
        <f t="shared" si="26"/>
        <v>0</v>
      </c>
      <c r="BA97" s="330">
        <f t="shared" si="27"/>
        <v>0</v>
      </c>
      <c r="BB97" s="330">
        <f t="shared" si="28"/>
        <v>0</v>
      </c>
      <c r="BC97" s="330">
        <f t="shared" si="29"/>
        <v>0</v>
      </c>
      <c r="BD97" s="330">
        <f t="shared" si="30"/>
        <v>0</v>
      </c>
      <c r="BE97" s="330">
        <f t="shared" si="45"/>
        <v>0</v>
      </c>
      <c r="BF97" s="330">
        <f t="shared" si="46"/>
        <v>0</v>
      </c>
      <c r="BG97" s="330">
        <f t="shared" si="31"/>
        <v>0</v>
      </c>
      <c r="BH97" s="330" t="str">
        <f t="shared" si="32"/>
        <v/>
      </c>
      <c r="BI97" s="330" t="str">
        <f t="shared" si="47"/>
        <v/>
      </c>
      <c r="BJ97" s="330" t="str">
        <f t="shared" si="48"/>
        <v/>
      </c>
      <c r="BK97" s="330" t="str">
        <f t="shared" si="33"/>
        <v/>
      </c>
      <c r="BL97" s="330" t="str">
        <f t="shared" si="34"/>
        <v/>
      </c>
      <c r="BM97" s="330" t="str">
        <f t="shared" si="49"/>
        <v/>
      </c>
      <c r="BN97" s="330" t="str">
        <f t="shared" si="54"/>
        <v/>
      </c>
      <c r="BO97" s="330">
        <f t="shared" si="35"/>
        <v>0</v>
      </c>
      <c r="BP97" s="330">
        <f t="shared" si="36"/>
        <v>0</v>
      </c>
      <c r="BQ97" s="330">
        <f t="shared" si="37"/>
        <v>0</v>
      </c>
      <c r="BR97" s="330" t="str">
        <f t="shared" si="38"/>
        <v/>
      </c>
      <c r="BS97" s="432" t="str">
        <f t="shared" si="50"/>
        <v/>
      </c>
    </row>
    <row r="98" spans="1:71" ht="15" customHeight="1" thickBot="1">
      <c r="A98" s="580"/>
      <c r="B98" s="536"/>
      <c r="C98" s="564"/>
      <c r="D98" s="567"/>
      <c r="E98" s="240"/>
      <c r="F98" s="241"/>
      <c r="G98" s="559">
        <f>IF(OR($E$98="",$E$98=0),0,IF($C$98="Pinned",ABS($E$98),IF(AND($C$98="Gravity",$B$98="Below",$E$98&gt;=0),ABS($E$98),IF(AND($C$98="Gravity",$B$98="Above",$E$98&lt;=0),ABS($E$98),0))))</f>
        <v>0</v>
      </c>
      <c r="H98" s="708" t="str">
        <f>IF($L$98=0,"",IF($L$98&gt;0,CHAR(233),CHAR(234)))</f>
        <v/>
      </c>
      <c r="I98" s="556">
        <f>IF(OR($F$98="",$F$98=0),0,IF($C$98="Pinned",ABS($F$98),IF(AND($C$98="Gravity",$B$98="Behind",$F$98&lt;0),ABS($F$98),IF(AND($C$98="Gravity",$B$98="In front",$F$98&gt;0),ABS($F$98),0))))</f>
        <v>0</v>
      </c>
      <c r="J98" s="709" t="str">
        <f>IF($M$98=0,"",IF($M$98&gt;=0,CHAR(232),CHAR(231)))</f>
        <v/>
      </c>
      <c r="L98" s="571">
        <f>IF($G$98=0,0,$E$98)</f>
        <v>0</v>
      </c>
      <c r="M98" s="571">
        <f>IF($I$98=0,0,$F$98)</f>
        <v>0</v>
      </c>
      <c r="O98" s="317"/>
      <c r="P98" s="357" t="s">
        <v>1021</v>
      </c>
      <c r="Q98" s="358" t="s">
        <v>1020</v>
      </c>
      <c r="U98" s="963" t="s">
        <v>1027</v>
      </c>
      <c r="V98" s="966"/>
      <c r="W98" s="967"/>
      <c r="AA98" s="628" t="s">
        <v>772</v>
      </c>
      <c r="AB98" s="629">
        <f>IF($AB$93="",0,$AB$93+($B$87/4))</f>
        <v>0</v>
      </c>
      <c r="AC98" s="330">
        <f>IF($AC$93="",$C$13,$AC$96)</f>
        <v>0</v>
      </c>
      <c r="AD98" s="330">
        <f>IF($AD$93="","",$AD$93+($B$88/4))</f>
        <v>0</v>
      </c>
      <c r="AE98" s="330">
        <f>IF($AE$93="",$C$13,$AE$96)</f>
        <v>0</v>
      </c>
      <c r="AF98" s="330">
        <f>IF($AF$93="",0,$AF$93+($B$89/4))</f>
        <v>0</v>
      </c>
      <c r="AG98" s="432">
        <f>IF($AG$93="",$C$13,$AG$96)</f>
        <v>0</v>
      </c>
      <c r="AI98" s="364">
        <v>53</v>
      </c>
      <c r="AJ98" s="330">
        <f t="shared" si="39"/>
        <v>0</v>
      </c>
      <c r="AK98" s="344" t="str">
        <f t="shared" si="20"/>
        <v>None</v>
      </c>
      <c r="AL98" s="330">
        <f t="shared" si="58"/>
        <v>0</v>
      </c>
      <c r="AM98" s="336">
        <f t="shared" si="51"/>
        <v>0</v>
      </c>
      <c r="AN98" s="330">
        <f t="shared" si="59"/>
        <v>0</v>
      </c>
      <c r="AO98" s="437">
        <f t="shared" si="52"/>
        <v>0</v>
      </c>
      <c r="AP98" s="348" t="b">
        <f t="shared" si="53"/>
        <v>0</v>
      </c>
      <c r="AQ98" s="348">
        <f t="shared" si="21"/>
        <v>0</v>
      </c>
      <c r="AR98" s="348">
        <f t="shared" si="22"/>
        <v>0</v>
      </c>
      <c r="AS98" s="348">
        <f t="shared" si="41"/>
        <v>0</v>
      </c>
      <c r="AT98" s="348" t="str">
        <f t="shared" si="42"/>
        <v/>
      </c>
      <c r="AU98" s="348" t="str">
        <f t="shared" si="43"/>
        <v/>
      </c>
      <c r="AV98" s="348">
        <f t="shared" si="44"/>
        <v>0</v>
      </c>
      <c r="AW98" s="348">
        <f t="shared" si="23"/>
        <v>0</v>
      </c>
      <c r="AX98" s="348">
        <f t="shared" si="24"/>
        <v>0</v>
      </c>
      <c r="AY98" s="330">
        <f t="shared" si="25"/>
        <v>0</v>
      </c>
      <c r="AZ98" s="330">
        <f t="shared" si="26"/>
        <v>0</v>
      </c>
      <c r="BA98" s="330">
        <f t="shared" si="27"/>
        <v>0</v>
      </c>
      <c r="BB98" s="330">
        <f t="shared" si="28"/>
        <v>0</v>
      </c>
      <c r="BC98" s="330">
        <f t="shared" si="29"/>
        <v>0</v>
      </c>
      <c r="BD98" s="330">
        <f t="shared" si="30"/>
        <v>0</v>
      </c>
      <c r="BE98" s="330">
        <f t="shared" si="45"/>
        <v>0</v>
      </c>
      <c r="BF98" s="330">
        <f t="shared" si="46"/>
        <v>0</v>
      </c>
      <c r="BG98" s="330">
        <f t="shared" si="31"/>
        <v>0</v>
      </c>
      <c r="BH98" s="330" t="str">
        <f t="shared" si="32"/>
        <v/>
      </c>
      <c r="BI98" s="330" t="str">
        <f t="shared" si="47"/>
        <v/>
      </c>
      <c r="BJ98" s="330" t="str">
        <f t="shared" si="48"/>
        <v/>
      </c>
      <c r="BK98" s="330" t="str">
        <f t="shared" si="33"/>
        <v/>
      </c>
      <c r="BL98" s="330" t="str">
        <f t="shared" si="34"/>
        <v/>
      </c>
      <c r="BM98" s="330" t="str">
        <f t="shared" si="49"/>
        <v/>
      </c>
      <c r="BN98" s="330" t="str">
        <f t="shared" si="54"/>
        <v/>
      </c>
      <c r="BO98" s="330">
        <f t="shared" si="35"/>
        <v>0</v>
      </c>
      <c r="BP98" s="330">
        <f t="shared" si="36"/>
        <v>0</v>
      </c>
      <c r="BQ98" s="330">
        <f t="shared" si="37"/>
        <v>0</v>
      </c>
      <c r="BR98" s="330" t="str">
        <f t="shared" si="38"/>
        <v/>
      </c>
      <c r="BS98" s="432" t="str">
        <f t="shared" si="50"/>
        <v/>
      </c>
    </row>
    <row r="99" spans="1:71" ht="15" thickBot="1">
      <c r="A99" s="710"/>
      <c r="B99" s="710"/>
      <c r="C99" s="710"/>
      <c r="D99" s="710"/>
      <c r="E99" s="710"/>
      <c r="F99" s="710"/>
      <c r="G99" s="710"/>
      <c r="H99" s="710"/>
      <c r="I99" s="710"/>
      <c r="J99" s="710"/>
      <c r="K99" s="534"/>
      <c r="L99" s="570">
        <f>$L$95+$L$96+$L$97+$L$98</f>
        <v>0</v>
      </c>
      <c r="M99" s="570">
        <f>$M$95+$M$96+$M$97+$M$98</f>
        <v>0</v>
      </c>
      <c r="O99" s="364" t="s">
        <v>985</v>
      </c>
      <c r="P99" s="632" t="str">
        <f>IF(OR($F$25="",$C87=""),"",IF($A87="Behind",0.5*CDrock*$Z94*SWWater*($J$6^2)/(2*g),CDrock*$Z94*SWWater*($J$6^2)/(2*g)))</f>
        <v/>
      </c>
      <c r="Q99" s="633" t="str">
        <f>IF(OR($F$25="",$C87=""),"",IF($A87="Behind",0.5*CLrock*$Z94*SWWater*(($J$6^2)/(2*g)),CLrock*$Z94*SWWater*(($J$6^2)/(2*g))))</f>
        <v/>
      </c>
      <c r="U99" s="317"/>
      <c r="V99" s="357" t="s">
        <v>1010</v>
      </c>
      <c r="W99" s="358" t="s">
        <v>737</v>
      </c>
      <c r="AA99" s="628" t="s">
        <v>773</v>
      </c>
      <c r="AB99" s="629">
        <f>IF($AB$93="",0,$AB$93+($B$87/2))</f>
        <v>0</v>
      </c>
      <c r="AC99" s="330">
        <f>IF($AC$93="",$C$13,$AC$95)</f>
        <v>0</v>
      </c>
      <c r="AD99" s="330">
        <f>IF($AD$93="",0,$AD$93+($B$88/2))</f>
        <v>0</v>
      </c>
      <c r="AE99" s="330">
        <f>IF($AE$93="",$C$13,$AE$95)</f>
        <v>0</v>
      </c>
      <c r="AF99" s="330">
        <f>IF($AF$93="","",$AF$93+($B$89/2))</f>
        <v>0</v>
      </c>
      <c r="AG99" s="432">
        <f>IF($AG$93="",$C$13,$AG$95)</f>
        <v>0</v>
      </c>
      <c r="AH99" s="277"/>
      <c r="AI99" s="364">
        <v>54</v>
      </c>
      <c r="AJ99" s="330">
        <f t="shared" si="39"/>
        <v>0</v>
      </c>
      <c r="AK99" s="344" t="str">
        <f t="shared" si="20"/>
        <v>None</v>
      </c>
      <c r="AL99" s="330">
        <f t="shared" si="58"/>
        <v>0</v>
      </c>
      <c r="AM99" s="336">
        <f t="shared" si="51"/>
        <v>0</v>
      </c>
      <c r="AN99" s="330">
        <f t="shared" si="59"/>
        <v>0</v>
      </c>
      <c r="AO99" s="437">
        <f t="shared" si="52"/>
        <v>0</v>
      </c>
      <c r="AP99" s="348" t="b">
        <f t="shared" si="53"/>
        <v>0</v>
      </c>
      <c r="AQ99" s="348">
        <f t="shared" si="21"/>
        <v>0</v>
      </c>
      <c r="AR99" s="348">
        <f t="shared" si="22"/>
        <v>0</v>
      </c>
      <c r="AS99" s="348">
        <f t="shared" si="41"/>
        <v>0</v>
      </c>
      <c r="AT99" s="348" t="str">
        <f t="shared" si="42"/>
        <v/>
      </c>
      <c r="AU99" s="348" t="str">
        <f t="shared" si="43"/>
        <v/>
      </c>
      <c r="AV99" s="348">
        <f t="shared" si="44"/>
        <v>0</v>
      </c>
      <c r="AW99" s="348">
        <f t="shared" si="23"/>
        <v>0</v>
      </c>
      <c r="AX99" s="348">
        <f t="shared" si="24"/>
        <v>0</v>
      </c>
      <c r="AY99" s="330">
        <f t="shared" si="25"/>
        <v>0</v>
      </c>
      <c r="AZ99" s="330">
        <f t="shared" si="26"/>
        <v>0</v>
      </c>
      <c r="BA99" s="330">
        <f t="shared" si="27"/>
        <v>0</v>
      </c>
      <c r="BB99" s="330">
        <f t="shared" si="28"/>
        <v>0</v>
      </c>
      <c r="BC99" s="330">
        <f t="shared" si="29"/>
        <v>0</v>
      </c>
      <c r="BD99" s="330">
        <f t="shared" si="30"/>
        <v>0</v>
      </c>
      <c r="BE99" s="330">
        <f t="shared" si="45"/>
        <v>0</v>
      </c>
      <c r="BF99" s="330">
        <f t="shared" si="46"/>
        <v>0</v>
      </c>
      <c r="BG99" s="330">
        <f t="shared" si="31"/>
        <v>0</v>
      </c>
      <c r="BH99" s="330" t="str">
        <f t="shared" si="32"/>
        <v/>
      </c>
      <c r="BI99" s="330" t="str">
        <f t="shared" si="47"/>
        <v/>
      </c>
      <c r="BJ99" s="330" t="str">
        <f t="shared" si="48"/>
        <v/>
      </c>
      <c r="BK99" s="330" t="str">
        <f t="shared" si="33"/>
        <v/>
      </c>
      <c r="BL99" s="330" t="str">
        <f t="shared" si="34"/>
        <v/>
      </c>
      <c r="BM99" s="330" t="str">
        <f t="shared" si="49"/>
        <v/>
      </c>
      <c r="BN99" s="330" t="str">
        <f t="shared" si="54"/>
        <v/>
      </c>
      <c r="BO99" s="330">
        <f t="shared" si="35"/>
        <v>0</v>
      </c>
      <c r="BP99" s="330">
        <f t="shared" si="36"/>
        <v>0</v>
      </c>
      <c r="BQ99" s="330">
        <f t="shared" si="37"/>
        <v>0</v>
      </c>
      <c r="BR99" s="330" t="str">
        <f t="shared" si="38"/>
        <v/>
      </c>
      <c r="BS99" s="432" t="str">
        <f t="shared" si="50"/>
        <v/>
      </c>
    </row>
    <row r="100" spans="1:71">
      <c r="A100" s="711"/>
      <c r="B100" s="711"/>
      <c r="C100" s="711"/>
      <c r="D100" s="711"/>
      <c r="E100" s="711"/>
      <c r="F100" s="711"/>
      <c r="G100" s="711"/>
      <c r="H100" s="711"/>
      <c r="I100" s="711"/>
      <c r="J100" s="711"/>
      <c r="O100" s="412" t="s">
        <v>986</v>
      </c>
      <c r="P100" s="632" t="str">
        <f>IF(OR($F$25="",$C88=""),"",IF($A88="Behind",0.5*CDrock*$Z95*SWWater*($J$6^2)/(2*g),CDrock*$Z95*SWWater*($J$6^2)/(2*g)))</f>
        <v/>
      </c>
      <c r="Q100" s="633" t="str">
        <f>IF(OR($F$25="",$C88=""),"",IF($A88="Behind",0.5*CLrock*$Z95*SWWater*(($J$6^2)/(2*g)),CLrock*$Z95*SWWater*(($J$6^2)/(2*g))))</f>
        <v/>
      </c>
      <c r="U100" s="412" t="s">
        <v>1007</v>
      </c>
      <c r="V100" s="348" t="str">
        <f>IF(OR($F$25="",$H83=""),"",$AE$49-(($H83*$M$19)*$M$17))</f>
        <v/>
      </c>
      <c r="W100" s="626" t="str">
        <f>IF($V100="","",IF(OR($C$19="",$F$25="",$G$25=""),"None",IF($V100&lt;$B$14,"Bank",IF($V100&lt;$B$15,"Bank",IF($V100&lt;$B$16,"Bed",IF($V100&lt;$B$17,"Bed",IF($V100&lt;$B$18,"Bank","Bank")))))))</f>
        <v/>
      </c>
      <c r="AA100" s="628" t="s">
        <v>774</v>
      </c>
      <c r="AB100" s="629">
        <f>IF($AB$93="",0,$AB$98)</f>
        <v>0</v>
      </c>
      <c r="AC100" s="330">
        <f>IF($AC$93="",$C$13,$AC$94)</f>
        <v>0</v>
      </c>
      <c r="AD100" s="330">
        <f>IF($AD$93="",0,$AD$98)</f>
        <v>0</v>
      </c>
      <c r="AE100" s="330">
        <f>IF($AE$93="",$C$13,$AE$94)</f>
        <v>0</v>
      </c>
      <c r="AF100" s="330">
        <f>IF($AF$93="",0,$AF$98)</f>
        <v>0</v>
      </c>
      <c r="AG100" s="432">
        <f>IF($AG$93="",$C$13,$AG$94)</f>
        <v>0</v>
      </c>
      <c r="AH100" s="277"/>
      <c r="AI100" s="364">
        <v>55</v>
      </c>
      <c r="AJ100" s="330">
        <f t="shared" si="39"/>
        <v>0</v>
      </c>
      <c r="AK100" s="344" t="str">
        <f t="shared" si="20"/>
        <v>None</v>
      </c>
      <c r="AL100" s="330">
        <f t="shared" si="58"/>
        <v>0</v>
      </c>
      <c r="AM100" s="336">
        <f t="shared" si="51"/>
        <v>0</v>
      </c>
      <c r="AN100" s="330">
        <f t="shared" si="59"/>
        <v>0</v>
      </c>
      <c r="AO100" s="437">
        <f t="shared" si="52"/>
        <v>0</v>
      </c>
      <c r="AP100" s="348" t="b">
        <f t="shared" si="53"/>
        <v>0</v>
      </c>
      <c r="AQ100" s="348">
        <f t="shared" si="21"/>
        <v>0</v>
      </c>
      <c r="AR100" s="348">
        <f t="shared" si="22"/>
        <v>0</v>
      </c>
      <c r="AS100" s="348">
        <f t="shared" si="41"/>
        <v>0</v>
      </c>
      <c r="AT100" s="348" t="str">
        <f t="shared" si="42"/>
        <v/>
      </c>
      <c r="AU100" s="348" t="str">
        <f t="shared" si="43"/>
        <v/>
      </c>
      <c r="AV100" s="348">
        <f t="shared" si="44"/>
        <v>0</v>
      </c>
      <c r="AW100" s="348">
        <f t="shared" si="23"/>
        <v>0</v>
      </c>
      <c r="AX100" s="348">
        <f t="shared" si="24"/>
        <v>0</v>
      </c>
      <c r="AY100" s="330">
        <f t="shared" si="25"/>
        <v>0</v>
      </c>
      <c r="AZ100" s="330">
        <f t="shared" si="26"/>
        <v>0</v>
      </c>
      <c r="BA100" s="330">
        <f t="shared" si="27"/>
        <v>0</v>
      </c>
      <c r="BB100" s="330">
        <f t="shared" si="28"/>
        <v>0</v>
      </c>
      <c r="BC100" s="330">
        <f t="shared" si="29"/>
        <v>0</v>
      </c>
      <c r="BD100" s="330">
        <f t="shared" si="30"/>
        <v>0</v>
      </c>
      <c r="BE100" s="330">
        <f t="shared" si="45"/>
        <v>0</v>
      </c>
      <c r="BF100" s="330">
        <f t="shared" si="46"/>
        <v>0</v>
      </c>
      <c r="BG100" s="330">
        <f t="shared" si="31"/>
        <v>0</v>
      </c>
      <c r="BH100" s="330" t="str">
        <f t="shared" si="32"/>
        <v/>
      </c>
      <c r="BI100" s="330" t="str">
        <f t="shared" si="47"/>
        <v/>
      </c>
      <c r="BJ100" s="330" t="str">
        <f t="shared" si="48"/>
        <v/>
      </c>
      <c r="BK100" s="330" t="str">
        <f t="shared" si="33"/>
        <v/>
      </c>
      <c r="BL100" s="330" t="str">
        <f t="shared" si="34"/>
        <v/>
      </c>
      <c r="BM100" s="330" t="str">
        <f t="shared" si="49"/>
        <v/>
      </c>
      <c r="BN100" s="330" t="str">
        <f t="shared" si="54"/>
        <v/>
      </c>
      <c r="BO100" s="330">
        <f t="shared" si="35"/>
        <v>0</v>
      </c>
      <c r="BP100" s="330">
        <f t="shared" si="36"/>
        <v>0</v>
      </c>
      <c r="BQ100" s="330">
        <f t="shared" si="37"/>
        <v>0</v>
      </c>
      <c r="BR100" s="330" t="str">
        <f t="shared" si="38"/>
        <v/>
      </c>
      <c r="BS100" s="432" t="str">
        <f t="shared" si="50"/>
        <v/>
      </c>
    </row>
    <row r="101" spans="1:71" ht="13.5" thickBot="1">
      <c r="A101" s="711"/>
      <c r="B101" s="711"/>
      <c r="C101" s="711"/>
      <c r="D101" s="711"/>
      <c r="E101" s="711"/>
      <c r="F101" s="711"/>
      <c r="G101" s="711"/>
      <c r="H101" s="711"/>
      <c r="I101" s="711"/>
      <c r="J101" s="711"/>
      <c r="O101" s="365" t="s">
        <v>987</v>
      </c>
      <c r="P101" s="634" t="str">
        <f>IF(OR($F$25="",$C89=""),"",IF($A89="Behind",0.5*CDrock*$Z96*SWWater*($J$6^2)/(2*g),CDrock*$Z96*SWWater*($J$6^2)/(2*g)))</f>
        <v/>
      </c>
      <c r="Q101" s="635" t="str">
        <f>IF(OR($F$25="",$C89=""),"",IF($A89="Behind",0.5*CLrock*$Z96*SWWater*(($J$6^2)/(2*g)),CLrock*$Z96*SWWater*(($J$6^2)/(2*g))))</f>
        <v/>
      </c>
      <c r="U101" s="413" t="s">
        <v>1028</v>
      </c>
      <c r="V101" s="355" t="str">
        <f>IF(OR($F$25="",$H84=""),"",$AE$49-(($H84*$M$19)*$M$17))</f>
        <v/>
      </c>
      <c r="W101" s="627" t="str">
        <f>IF($V101="","",IF(OR($C$19="",$F$25="",$G$25=""),"None",IF($V101&lt;$B$14,"Bank",IF($V101&lt;$B$15,"Bank",IF($V101&lt;$B$16,"Bed",IF($V101&lt;$B$17,"Bed",IF($V101&lt;$B$18,"Bank","Bank")))))))</f>
        <v/>
      </c>
      <c r="AA101" s="628" t="s">
        <v>776</v>
      </c>
      <c r="AB101" s="630">
        <f>IF($AB$93="",0,$AB$93)</f>
        <v>0</v>
      </c>
      <c r="AC101" s="433">
        <f>IF($AC$93="",$C$13,$AC$93)</f>
        <v>0</v>
      </c>
      <c r="AD101" s="433">
        <f>IF($AD$93="",0,$AD$93)</f>
        <v>0</v>
      </c>
      <c r="AE101" s="433">
        <f>IF($AE$93="",$C$13,$AE$93)</f>
        <v>0</v>
      </c>
      <c r="AF101" s="433">
        <f>IF($AF$93="",0,$AF$93)</f>
        <v>0</v>
      </c>
      <c r="AG101" s="376">
        <f>IF($AG$93="",$C$13,$AG$93)</f>
        <v>0</v>
      </c>
      <c r="AH101" s="277"/>
      <c r="AI101" s="364">
        <v>56</v>
      </c>
      <c r="AJ101" s="330">
        <f t="shared" si="39"/>
        <v>0</v>
      </c>
      <c r="AK101" s="344" t="str">
        <f t="shared" si="20"/>
        <v>None</v>
      </c>
      <c r="AL101" s="330">
        <f t="shared" si="58"/>
        <v>0</v>
      </c>
      <c r="AM101" s="336">
        <f t="shared" si="51"/>
        <v>0</v>
      </c>
      <c r="AN101" s="330">
        <f t="shared" si="59"/>
        <v>0</v>
      </c>
      <c r="AO101" s="437">
        <f t="shared" si="52"/>
        <v>0</v>
      </c>
      <c r="AP101" s="348" t="b">
        <f t="shared" si="53"/>
        <v>0</v>
      </c>
      <c r="AQ101" s="348">
        <f t="shared" si="21"/>
        <v>0</v>
      </c>
      <c r="AR101" s="348">
        <f t="shared" si="22"/>
        <v>0</v>
      </c>
      <c r="AS101" s="348">
        <f t="shared" si="41"/>
        <v>0</v>
      </c>
      <c r="AT101" s="348" t="str">
        <f t="shared" si="42"/>
        <v/>
      </c>
      <c r="AU101" s="348" t="str">
        <f t="shared" si="43"/>
        <v/>
      </c>
      <c r="AV101" s="348">
        <f t="shared" si="44"/>
        <v>0</v>
      </c>
      <c r="AW101" s="348">
        <f t="shared" si="23"/>
        <v>0</v>
      </c>
      <c r="AX101" s="348">
        <f t="shared" si="24"/>
        <v>0</v>
      </c>
      <c r="AY101" s="330">
        <f t="shared" si="25"/>
        <v>0</v>
      </c>
      <c r="AZ101" s="330">
        <f t="shared" si="26"/>
        <v>0</v>
      </c>
      <c r="BA101" s="330">
        <f t="shared" si="27"/>
        <v>0</v>
      </c>
      <c r="BB101" s="330">
        <f t="shared" si="28"/>
        <v>0</v>
      </c>
      <c r="BC101" s="330">
        <f t="shared" si="29"/>
        <v>0</v>
      </c>
      <c r="BD101" s="330">
        <f t="shared" si="30"/>
        <v>0</v>
      </c>
      <c r="BE101" s="330">
        <f t="shared" si="45"/>
        <v>0</v>
      </c>
      <c r="BF101" s="330">
        <f t="shared" si="46"/>
        <v>0</v>
      </c>
      <c r="BG101" s="330">
        <f t="shared" si="31"/>
        <v>0</v>
      </c>
      <c r="BH101" s="330" t="str">
        <f t="shared" si="32"/>
        <v/>
      </c>
      <c r="BI101" s="330" t="str">
        <f t="shared" si="47"/>
        <v/>
      </c>
      <c r="BJ101" s="330" t="str">
        <f t="shared" si="48"/>
        <v/>
      </c>
      <c r="BK101" s="330" t="str">
        <f t="shared" si="33"/>
        <v/>
      </c>
      <c r="BL101" s="330" t="str">
        <f t="shared" si="34"/>
        <v/>
      </c>
      <c r="BM101" s="330" t="str">
        <f t="shared" si="49"/>
        <v/>
      </c>
      <c r="BN101" s="330" t="str">
        <f t="shared" si="54"/>
        <v/>
      </c>
      <c r="BO101" s="330">
        <f t="shared" si="35"/>
        <v>0</v>
      </c>
      <c r="BP101" s="330">
        <f t="shared" si="36"/>
        <v>0</v>
      </c>
      <c r="BQ101" s="330">
        <f t="shared" si="37"/>
        <v>0</v>
      </c>
      <c r="BR101" s="330" t="str">
        <f t="shared" si="38"/>
        <v/>
      </c>
      <c r="BS101" s="432" t="str">
        <f t="shared" si="50"/>
        <v/>
      </c>
    </row>
    <row r="102" spans="1:71" ht="13.5" thickBot="1">
      <c r="A102" s="711"/>
      <c r="B102" s="711"/>
      <c r="C102" s="711"/>
      <c r="D102" s="711"/>
      <c r="E102" s="711"/>
      <c r="F102" s="711"/>
      <c r="G102" s="711"/>
      <c r="H102" s="711"/>
      <c r="I102" s="711"/>
      <c r="J102" s="711"/>
      <c r="K102" s="474"/>
      <c r="P102" s="16"/>
      <c r="Q102" s="16"/>
      <c r="AH102" s="277"/>
      <c r="AI102" s="364">
        <v>57</v>
      </c>
      <c r="AJ102" s="330">
        <f t="shared" si="39"/>
        <v>0</v>
      </c>
      <c r="AK102" s="344" t="str">
        <f t="shared" si="20"/>
        <v>None</v>
      </c>
      <c r="AL102" s="330">
        <f t="shared" si="58"/>
        <v>0</v>
      </c>
      <c r="AM102" s="336">
        <f t="shared" si="51"/>
        <v>0</v>
      </c>
      <c r="AN102" s="330">
        <f t="shared" si="59"/>
        <v>0</v>
      </c>
      <c r="AO102" s="437">
        <f t="shared" si="52"/>
        <v>0</v>
      </c>
      <c r="AP102" s="348" t="b">
        <f t="shared" si="53"/>
        <v>0</v>
      </c>
      <c r="AQ102" s="348">
        <f t="shared" si="21"/>
        <v>0</v>
      </c>
      <c r="AR102" s="348">
        <f t="shared" si="22"/>
        <v>0</v>
      </c>
      <c r="AS102" s="348">
        <f t="shared" si="41"/>
        <v>0</v>
      </c>
      <c r="AT102" s="348" t="str">
        <f t="shared" si="42"/>
        <v/>
      </c>
      <c r="AU102" s="348" t="str">
        <f t="shared" si="43"/>
        <v/>
      </c>
      <c r="AV102" s="348">
        <f t="shared" si="44"/>
        <v>0</v>
      </c>
      <c r="AW102" s="348">
        <f t="shared" si="23"/>
        <v>0</v>
      </c>
      <c r="AX102" s="348">
        <f t="shared" si="24"/>
        <v>0</v>
      </c>
      <c r="AY102" s="330">
        <f t="shared" si="25"/>
        <v>0</v>
      </c>
      <c r="AZ102" s="330">
        <f t="shared" si="26"/>
        <v>0</v>
      </c>
      <c r="BA102" s="330">
        <f t="shared" si="27"/>
        <v>0</v>
      </c>
      <c r="BB102" s="330">
        <f t="shared" si="28"/>
        <v>0</v>
      </c>
      <c r="BC102" s="330">
        <f t="shared" si="29"/>
        <v>0</v>
      </c>
      <c r="BD102" s="330">
        <f t="shared" si="30"/>
        <v>0</v>
      </c>
      <c r="BE102" s="330">
        <f t="shared" si="45"/>
        <v>0</v>
      </c>
      <c r="BF102" s="330">
        <f t="shared" si="46"/>
        <v>0</v>
      </c>
      <c r="BG102" s="330">
        <f t="shared" si="31"/>
        <v>0</v>
      </c>
      <c r="BH102" s="330" t="str">
        <f t="shared" si="32"/>
        <v/>
      </c>
      <c r="BI102" s="330" t="str">
        <f t="shared" si="47"/>
        <v/>
      </c>
      <c r="BJ102" s="330" t="str">
        <f t="shared" si="48"/>
        <v/>
      </c>
      <c r="BK102" s="330" t="str">
        <f t="shared" si="33"/>
        <v/>
      </c>
      <c r="BL102" s="330" t="str">
        <f t="shared" si="34"/>
        <v/>
      </c>
      <c r="BM102" s="330" t="str">
        <f t="shared" si="49"/>
        <v/>
      </c>
      <c r="BN102" s="330" t="str">
        <f t="shared" si="54"/>
        <v/>
      </c>
      <c r="BO102" s="330">
        <f t="shared" si="35"/>
        <v>0</v>
      </c>
      <c r="BP102" s="330">
        <f t="shared" si="36"/>
        <v>0</v>
      </c>
      <c r="BQ102" s="330">
        <f t="shared" si="37"/>
        <v>0</v>
      </c>
      <c r="BR102" s="330" t="str">
        <f t="shared" si="38"/>
        <v/>
      </c>
      <c r="BS102" s="432" t="str">
        <f t="shared" si="50"/>
        <v/>
      </c>
    </row>
    <row r="103" spans="1:71">
      <c r="A103" s="711"/>
      <c r="B103" s="711"/>
      <c r="C103" s="711"/>
      <c r="D103" s="711"/>
      <c r="E103" s="711"/>
      <c r="F103" s="711"/>
      <c r="G103" s="711"/>
      <c r="H103" s="711"/>
      <c r="I103" s="711"/>
      <c r="J103" s="711"/>
      <c r="K103" s="474"/>
      <c r="P103" s="16"/>
      <c r="Q103" s="16"/>
      <c r="AB103" s="963" t="s">
        <v>1008</v>
      </c>
      <c r="AC103" s="965"/>
      <c r="AF103" s="963" t="s">
        <v>1241</v>
      </c>
      <c r="AG103" s="965"/>
      <c r="AH103" s="277"/>
      <c r="AI103" s="364">
        <v>58</v>
      </c>
      <c r="AJ103" s="330">
        <f t="shared" si="39"/>
        <v>0</v>
      </c>
      <c r="AK103" s="344" t="str">
        <f t="shared" si="20"/>
        <v>None</v>
      </c>
      <c r="AL103" s="330">
        <f t="shared" si="58"/>
        <v>0</v>
      </c>
      <c r="AM103" s="336">
        <f t="shared" si="51"/>
        <v>0</v>
      </c>
      <c r="AN103" s="330">
        <f t="shared" si="59"/>
        <v>0</v>
      </c>
      <c r="AO103" s="437">
        <f t="shared" si="52"/>
        <v>0</v>
      </c>
      <c r="AP103" s="348" t="b">
        <f t="shared" si="53"/>
        <v>0</v>
      </c>
      <c r="AQ103" s="348">
        <f t="shared" si="21"/>
        <v>0</v>
      </c>
      <c r="AR103" s="348">
        <f t="shared" si="22"/>
        <v>0</v>
      </c>
      <c r="AS103" s="348">
        <f t="shared" si="41"/>
        <v>0</v>
      </c>
      <c r="AT103" s="348" t="str">
        <f t="shared" si="42"/>
        <v/>
      </c>
      <c r="AU103" s="348" t="str">
        <f t="shared" si="43"/>
        <v/>
      </c>
      <c r="AV103" s="348">
        <f t="shared" si="44"/>
        <v>0</v>
      </c>
      <c r="AW103" s="348">
        <f t="shared" si="23"/>
        <v>0</v>
      </c>
      <c r="AX103" s="348">
        <f t="shared" si="24"/>
        <v>0</v>
      </c>
      <c r="AY103" s="330">
        <f t="shared" si="25"/>
        <v>0</v>
      </c>
      <c r="AZ103" s="330">
        <f t="shared" si="26"/>
        <v>0</v>
      </c>
      <c r="BA103" s="330">
        <f t="shared" si="27"/>
        <v>0</v>
      </c>
      <c r="BB103" s="330">
        <f t="shared" si="28"/>
        <v>0</v>
      </c>
      <c r="BC103" s="330">
        <f t="shared" si="29"/>
        <v>0</v>
      </c>
      <c r="BD103" s="330">
        <f t="shared" si="30"/>
        <v>0</v>
      </c>
      <c r="BE103" s="330">
        <f t="shared" si="45"/>
        <v>0</v>
      </c>
      <c r="BF103" s="330">
        <f t="shared" si="46"/>
        <v>0</v>
      </c>
      <c r="BG103" s="330">
        <f t="shared" si="31"/>
        <v>0</v>
      </c>
      <c r="BH103" s="330" t="str">
        <f t="shared" si="32"/>
        <v/>
      </c>
      <c r="BI103" s="330" t="str">
        <f t="shared" si="47"/>
        <v/>
      </c>
      <c r="BJ103" s="330" t="str">
        <f t="shared" si="48"/>
        <v/>
      </c>
      <c r="BK103" s="330" t="str">
        <f t="shared" si="33"/>
        <v/>
      </c>
      <c r="BL103" s="330" t="str">
        <f t="shared" si="34"/>
        <v/>
      </c>
      <c r="BM103" s="330" t="str">
        <f t="shared" si="49"/>
        <v/>
      </c>
      <c r="BN103" s="330" t="str">
        <f t="shared" si="54"/>
        <v/>
      </c>
      <c r="BO103" s="330">
        <f t="shared" si="35"/>
        <v>0</v>
      </c>
      <c r="BP103" s="330">
        <f t="shared" si="36"/>
        <v>0</v>
      </c>
      <c r="BQ103" s="330">
        <f t="shared" si="37"/>
        <v>0</v>
      </c>
      <c r="BR103" s="330" t="str">
        <f t="shared" si="38"/>
        <v/>
      </c>
      <c r="BS103" s="432" t="str">
        <f t="shared" si="50"/>
        <v/>
      </c>
    </row>
    <row r="104" spans="1:71" ht="14.25">
      <c r="A104" s="711"/>
      <c r="B104" s="711"/>
      <c r="C104" s="711"/>
      <c r="D104" s="711"/>
      <c r="E104" s="711"/>
      <c r="F104" s="711"/>
      <c r="G104" s="711"/>
      <c r="H104" s="711"/>
      <c r="I104" s="711"/>
      <c r="J104" s="711"/>
      <c r="K104" s="474"/>
      <c r="P104" s="16"/>
      <c r="Q104" s="16"/>
      <c r="AB104" s="412" t="s">
        <v>733</v>
      </c>
      <c r="AC104" s="358" t="s">
        <v>732</v>
      </c>
      <c r="AF104" s="412" t="s">
        <v>733</v>
      </c>
      <c r="AG104" s="358" t="s">
        <v>732</v>
      </c>
      <c r="AI104" s="364">
        <v>59</v>
      </c>
      <c r="AJ104" s="330">
        <f t="shared" si="39"/>
        <v>0</v>
      </c>
      <c r="AK104" s="344" t="str">
        <f t="shared" si="20"/>
        <v>None</v>
      </c>
      <c r="AL104" s="330">
        <f t="shared" si="58"/>
        <v>0</v>
      </c>
      <c r="AM104" s="336">
        <f t="shared" si="51"/>
        <v>0</v>
      </c>
      <c r="AN104" s="330">
        <f t="shared" si="59"/>
        <v>0</v>
      </c>
      <c r="AO104" s="437">
        <f t="shared" si="52"/>
        <v>0</v>
      </c>
      <c r="AP104" s="348" t="b">
        <f t="shared" si="53"/>
        <v>0</v>
      </c>
      <c r="AQ104" s="348">
        <f t="shared" si="21"/>
        <v>0</v>
      </c>
      <c r="AR104" s="348">
        <f t="shared" si="22"/>
        <v>0</v>
      </c>
      <c r="AS104" s="348">
        <f t="shared" si="41"/>
        <v>0</v>
      </c>
      <c r="AT104" s="348" t="str">
        <f t="shared" si="42"/>
        <v/>
      </c>
      <c r="AU104" s="348" t="str">
        <f t="shared" si="43"/>
        <v/>
      </c>
      <c r="AV104" s="348">
        <f t="shared" si="44"/>
        <v>0</v>
      </c>
      <c r="AW104" s="348">
        <f t="shared" si="23"/>
        <v>0</v>
      </c>
      <c r="AX104" s="348">
        <f t="shared" si="24"/>
        <v>0</v>
      </c>
      <c r="AY104" s="330">
        <f t="shared" si="25"/>
        <v>0</v>
      </c>
      <c r="AZ104" s="330">
        <f t="shared" si="26"/>
        <v>0</v>
      </c>
      <c r="BA104" s="330">
        <f t="shared" si="27"/>
        <v>0</v>
      </c>
      <c r="BB104" s="330">
        <f t="shared" si="28"/>
        <v>0</v>
      </c>
      <c r="BC104" s="330">
        <f t="shared" si="29"/>
        <v>0</v>
      </c>
      <c r="BD104" s="330">
        <f t="shared" si="30"/>
        <v>0</v>
      </c>
      <c r="BE104" s="330">
        <f t="shared" si="45"/>
        <v>0</v>
      </c>
      <c r="BF104" s="330">
        <f t="shared" si="46"/>
        <v>0</v>
      </c>
      <c r="BG104" s="330">
        <f t="shared" si="31"/>
        <v>0</v>
      </c>
      <c r="BH104" s="330" t="str">
        <f t="shared" si="32"/>
        <v/>
      </c>
      <c r="BI104" s="330" t="str">
        <f t="shared" si="47"/>
        <v/>
      </c>
      <c r="BJ104" s="330" t="str">
        <f t="shared" si="48"/>
        <v/>
      </c>
      <c r="BK104" s="330" t="str">
        <f t="shared" si="33"/>
        <v/>
      </c>
      <c r="BL104" s="330" t="str">
        <f t="shared" si="34"/>
        <v/>
      </c>
      <c r="BM104" s="330" t="str">
        <f t="shared" si="49"/>
        <v/>
      </c>
      <c r="BN104" s="330" t="str">
        <f t="shared" si="54"/>
        <v/>
      </c>
      <c r="BO104" s="330">
        <f t="shared" si="35"/>
        <v>0</v>
      </c>
      <c r="BP104" s="330">
        <f t="shared" si="36"/>
        <v>0</v>
      </c>
      <c r="BQ104" s="330">
        <f t="shared" si="37"/>
        <v>0</v>
      </c>
      <c r="BR104" s="330" t="str">
        <f t="shared" si="38"/>
        <v/>
      </c>
      <c r="BS104" s="432" t="str">
        <f t="shared" si="50"/>
        <v/>
      </c>
    </row>
    <row r="105" spans="1:71">
      <c r="A105" s="711"/>
      <c r="B105" s="711"/>
      <c r="C105" s="711"/>
      <c r="D105" s="711"/>
      <c r="E105" s="711"/>
      <c r="F105" s="711"/>
      <c r="G105" s="711"/>
      <c r="H105" s="711"/>
      <c r="I105" s="711"/>
      <c r="J105" s="711"/>
      <c r="K105" s="474"/>
      <c r="Q105" s="16"/>
      <c r="AA105" s="628" t="s">
        <v>767</v>
      </c>
      <c r="AB105" s="631">
        <f>IF(OR($F$25="",$H83=""),0,$AE$49-(($H83*$M$19)*$M$17))</f>
        <v>0</v>
      </c>
      <c r="AC105" s="394">
        <f>IF(OR($AB105="",$AB$105=0),$C$13,($AF$49+(($AB105-$AE$49)*$AA$40))-($F$22/2))</f>
        <v>0</v>
      </c>
      <c r="AD105" s="315"/>
      <c r="AE105" s="628" t="s">
        <v>767</v>
      </c>
      <c r="AF105" s="631">
        <f>IF(OR($F$25="",$C83=""),0,($AE$49-(($C83*$M$19)*$M$17))+(ABS(2*$M$17*$M$19)))</f>
        <v>0</v>
      </c>
      <c r="AG105" s="394">
        <f>IF(OR($AF105="",$AF$105=0),$C$13,($AF$49+(($AF105-$AE$49)*$AA$40))+($F$22/2))</f>
        <v>0</v>
      </c>
      <c r="AI105" s="364">
        <v>60</v>
      </c>
      <c r="AJ105" s="330">
        <f t="shared" si="39"/>
        <v>0</v>
      </c>
      <c r="AK105" s="344" t="str">
        <f t="shared" si="20"/>
        <v>None</v>
      </c>
      <c r="AL105" s="330">
        <f t="shared" si="58"/>
        <v>0</v>
      </c>
      <c r="AM105" s="336">
        <f t="shared" si="51"/>
        <v>0</v>
      </c>
      <c r="AN105" s="330">
        <f t="shared" si="59"/>
        <v>0</v>
      </c>
      <c r="AO105" s="437">
        <f t="shared" si="52"/>
        <v>0</v>
      </c>
      <c r="AP105" s="348" t="b">
        <f t="shared" si="53"/>
        <v>0</v>
      </c>
      <c r="AQ105" s="348">
        <f t="shared" si="21"/>
        <v>0</v>
      </c>
      <c r="AR105" s="348">
        <f t="shared" si="22"/>
        <v>0</v>
      </c>
      <c r="AS105" s="348">
        <f t="shared" si="41"/>
        <v>0</v>
      </c>
      <c r="AT105" s="348" t="str">
        <f t="shared" si="42"/>
        <v/>
      </c>
      <c r="AU105" s="348" t="str">
        <f t="shared" si="43"/>
        <v/>
      </c>
      <c r="AV105" s="348">
        <f t="shared" si="44"/>
        <v>0</v>
      </c>
      <c r="AW105" s="348">
        <f t="shared" si="23"/>
        <v>0</v>
      </c>
      <c r="AX105" s="348">
        <f t="shared" si="24"/>
        <v>0</v>
      </c>
      <c r="AY105" s="330">
        <f t="shared" si="25"/>
        <v>0</v>
      </c>
      <c r="AZ105" s="330">
        <f t="shared" si="26"/>
        <v>0</v>
      </c>
      <c r="BA105" s="330">
        <f t="shared" si="27"/>
        <v>0</v>
      </c>
      <c r="BB105" s="330">
        <f t="shared" si="28"/>
        <v>0</v>
      </c>
      <c r="BC105" s="330">
        <f t="shared" si="29"/>
        <v>0</v>
      </c>
      <c r="BD105" s="330">
        <f t="shared" si="30"/>
        <v>0</v>
      </c>
      <c r="BE105" s="330">
        <f t="shared" si="45"/>
        <v>0</v>
      </c>
      <c r="BF105" s="330">
        <f t="shared" si="46"/>
        <v>0</v>
      </c>
      <c r="BG105" s="330">
        <f t="shared" si="31"/>
        <v>0</v>
      </c>
      <c r="BH105" s="330" t="str">
        <f t="shared" si="32"/>
        <v/>
      </c>
      <c r="BI105" s="330" t="str">
        <f t="shared" si="47"/>
        <v/>
      </c>
      <c r="BJ105" s="330" t="str">
        <f t="shared" si="48"/>
        <v/>
      </c>
      <c r="BK105" s="330" t="str">
        <f t="shared" si="33"/>
        <v/>
      </c>
      <c r="BL105" s="330" t="str">
        <f t="shared" si="34"/>
        <v/>
      </c>
      <c r="BM105" s="330" t="str">
        <f t="shared" si="49"/>
        <v/>
      </c>
      <c r="BN105" s="330" t="str">
        <f t="shared" si="54"/>
        <v/>
      </c>
      <c r="BO105" s="330">
        <f t="shared" si="35"/>
        <v>0</v>
      </c>
      <c r="BP105" s="330">
        <f t="shared" si="36"/>
        <v>0</v>
      </c>
      <c r="BQ105" s="330">
        <f t="shared" si="37"/>
        <v>0</v>
      </c>
      <c r="BR105" s="330" t="str">
        <f t="shared" si="38"/>
        <v/>
      </c>
      <c r="BS105" s="432" t="str">
        <f t="shared" si="50"/>
        <v/>
      </c>
    </row>
    <row r="106" spans="1:71">
      <c r="A106" s="711"/>
      <c r="B106" s="711"/>
      <c r="C106" s="711"/>
      <c r="D106" s="711"/>
      <c r="E106" s="711"/>
      <c r="F106" s="711"/>
      <c r="G106" s="711"/>
      <c r="H106" s="711"/>
      <c r="I106" s="711"/>
      <c r="J106" s="711"/>
      <c r="K106" s="474"/>
      <c r="X106" s="330"/>
      <c r="Y106" s="330"/>
      <c r="AA106" s="628" t="s">
        <v>768</v>
      </c>
      <c r="AB106" s="631">
        <f>IF($AB105="",0,$AB105)</f>
        <v>0</v>
      </c>
      <c r="AC106" s="394">
        <f>IF(OR($AC105="",$AB$105=0),$C$13,$AC105-4)</f>
        <v>0</v>
      </c>
      <c r="AD106" s="357"/>
      <c r="AE106" s="628" t="s">
        <v>768</v>
      </c>
      <c r="AF106" s="631">
        <f>IF($AF105="",0,$AF105)</f>
        <v>0</v>
      </c>
      <c r="AG106" s="394">
        <f>IF(OR($AG105="",$AF$105=0),$C$13,IF($AG$105&gt;$AG$108,$AG105+2.25,$AG$108+2.25))</f>
        <v>0</v>
      </c>
      <c r="AI106" s="364">
        <v>61</v>
      </c>
      <c r="AJ106" s="330">
        <f t="shared" si="39"/>
        <v>0</v>
      </c>
      <c r="AK106" s="344" t="str">
        <f t="shared" si="20"/>
        <v>None</v>
      </c>
      <c r="AL106" s="330">
        <f t="shared" si="58"/>
        <v>0</v>
      </c>
      <c r="AM106" s="336">
        <f t="shared" si="51"/>
        <v>0</v>
      </c>
      <c r="AN106" s="330">
        <f t="shared" si="59"/>
        <v>0</v>
      </c>
      <c r="AO106" s="437">
        <f t="shared" si="52"/>
        <v>0</v>
      </c>
      <c r="AP106" s="348" t="b">
        <f t="shared" si="53"/>
        <v>0</v>
      </c>
      <c r="AQ106" s="348">
        <f t="shared" si="21"/>
        <v>0</v>
      </c>
      <c r="AR106" s="348">
        <f t="shared" si="22"/>
        <v>0</v>
      </c>
      <c r="AS106" s="348">
        <f t="shared" si="41"/>
        <v>0</v>
      </c>
      <c r="AT106" s="348" t="str">
        <f t="shared" si="42"/>
        <v/>
      </c>
      <c r="AU106" s="348" t="str">
        <f t="shared" si="43"/>
        <v/>
      </c>
      <c r="AV106" s="348">
        <f t="shared" si="44"/>
        <v>0</v>
      </c>
      <c r="AW106" s="348">
        <f t="shared" si="23"/>
        <v>0</v>
      </c>
      <c r="AX106" s="348">
        <f t="shared" si="24"/>
        <v>0</v>
      </c>
      <c r="AY106" s="330">
        <f t="shared" si="25"/>
        <v>0</v>
      </c>
      <c r="AZ106" s="330">
        <f t="shared" si="26"/>
        <v>0</v>
      </c>
      <c r="BA106" s="330">
        <f t="shared" si="27"/>
        <v>0</v>
      </c>
      <c r="BB106" s="330">
        <f t="shared" si="28"/>
        <v>0</v>
      </c>
      <c r="BC106" s="330">
        <f t="shared" si="29"/>
        <v>0</v>
      </c>
      <c r="BD106" s="330">
        <f t="shared" si="30"/>
        <v>0</v>
      </c>
      <c r="BE106" s="330">
        <f t="shared" si="45"/>
        <v>0</v>
      </c>
      <c r="BF106" s="330">
        <f t="shared" si="46"/>
        <v>0</v>
      </c>
      <c r="BG106" s="330">
        <f t="shared" si="31"/>
        <v>0</v>
      </c>
      <c r="BH106" s="330" t="str">
        <f t="shared" si="32"/>
        <v/>
      </c>
      <c r="BI106" s="330" t="str">
        <f t="shared" si="47"/>
        <v/>
      </c>
      <c r="BJ106" s="330" t="str">
        <f t="shared" si="48"/>
        <v/>
      </c>
      <c r="BK106" s="330" t="str">
        <f t="shared" si="33"/>
        <v/>
      </c>
      <c r="BL106" s="330" t="str">
        <f t="shared" si="34"/>
        <v/>
      </c>
      <c r="BM106" s="330" t="str">
        <f t="shared" si="49"/>
        <v/>
      </c>
      <c r="BN106" s="330" t="str">
        <f t="shared" si="54"/>
        <v/>
      </c>
      <c r="BO106" s="330">
        <f t="shared" si="35"/>
        <v>0</v>
      </c>
      <c r="BP106" s="330">
        <f t="shared" si="36"/>
        <v>0</v>
      </c>
      <c r="BQ106" s="330">
        <f t="shared" si="37"/>
        <v>0</v>
      </c>
      <c r="BR106" s="330" t="str">
        <f t="shared" si="38"/>
        <v/>
      </c>
      <c r="BS106" s="432" t="str">
        <f t="shared" si="50"/>
        <v/>
      </c>
    </row>
    <row r="107" spans="1:71">
      <c r="A107" s="711"/>
      <c r="B107" s="711"/>
      <c r="C107" s="711"/>
      <c r="D107" s="711"/>
      <c r="E107" s="711"/>
      <c r="F107" s="711"/>
      <c r="G107" s="711"/>
      <c r="H107" s="711"/>
      <c r="I107" s="711"/>
      <c r="J107" s="711"/>
      <c r="K107" s="474"/>
      <c r="Q107" s="16"/>
      <c r="AB107" s="317"/>
      <c r="AC107" s="316"/>
      <c r="AD107" s="348"/>
      <c r="AE107" s="628" t="s">
        <v>769</v>
      </c>
      <c r="AF107" s="631">
        <f>IF(OR($F$25="",$C83=""),0,($AE$49-(($C83*$M$19)*$M$17))-(ABS(2*$M$17*$M$19)))</f>
        <v>0</v>
      </c>
      <c r="AG107" s="394">
        <f>IF(OR($AG106="",$AF$105=0),$C$13,$AG106)</f>
        <v>0</v>
      </c>
      <c r="AI107" s="364">
        <v>62</v>
      </c>
      <c r="AJ107" s="330">
        <f t="shared" si="39"/>
        <v>0</v>
      </c>
      <c r="AK107" s="344" t="str">
        <f t="shared" si="20"/>
        <v>None</v>
      </c>
      <c r="AL107" s="330">
        <f t="shared" si="58"/>
        <v>0</v>
      </c>
      <c r="AM107" s="336">
        <f t="shared" si="51"/>
        <v>0</v>
      </c>
      <c r="AN107" s="330">
        <f t="shared" si="59"/>
        <v>0</v>
      </c>
      <c r="AO107" s="437">
        <f t="shared" si="52"/>
        <v>0</v>
      </c>
      <c r="AP107" s="348" t="b">
        <f t="shared" si="53"/>
        <v>0</v>
      </c>
      <c r="AQ107" s="348">
        <f t="shared" si="21"/>
        <v>0</v>
      </c>
      <c r="AR107" s="348">
        <f t="shared" si="22"/>
        <v>0</v>
      </c>
      <c r="AS107" s="348">
        <f t="shared" si="41"/>
        <v>0</v>
      </c>
      <c r="AT107" s="348" t="str">
        <f t="shared" si="42"/>
        <v/>
      </c>
      <c r="AU107" s="348" t="str">
        <f t="shared" si="43"/>
        <v/>
      </c>
      <c r="AV107" s="348">
        <f t="shared" si="44"/>
        <v>0</v>
      </c>
      <c r="AW107" s="348">
        <f t="shared" si="23"/>
        <v>0</v>
      </c>
      <c r="AX107" s="348">
        <f t="shared" si="24"/>
        <v>0</v>
      </c>
      <c r="AY107" s="330">
        <f t="shared" si="25"/>
        <v>0</v>
      </c>
      <c r="AZ107" s="330">
        <f t="shared" si="26"/>
        <v>0</v>
      </c>
      <c r="BA107" s="330">
        <f t="shared" si="27"/>
        <v>0</v>
      </c>
      <c r="BB107" s="330">
        <f t="shared" si="28"/>
        <v>0</v>
      </c>
      <c r="BC107" s="330">
        <f t="shared" si="29"/>
        <v>0</v>
      </c>
      <c r="BD107" s="330">
        <f t="shared" si="30"/>
        <v>0</v>
      </c>
      <c r="BE107" s="330">
        <f t="shared" si="45"/>
        <v>0</v>
      </c>
      <c r="BF107" s="330">
        <f t="shared" si="46"/>
        <v>0</v>
      </c>
      <c r="BG107" s="330">
        <f t="shared" si="31"/>
        <v>0</v>
      </c>
      <c r="BH107" s="330" t="str">
        <f t="shared" si="32"/>
        <v/>
      </c>
      <c r="BI107" s="330" t="str">
        <f t="shared" si="47"/>
        <v/>
      </c>
      <c r="BJ107" s="330" t="str">
        <f t="shared" si="48"/>
        <v/>
      </c>
      <c r="BK107" s="330" t="str">
        <f t="shared" si="33"/>
        <v/>
      </c>
      <c r="BL107" s="330" t="str">
        <f t="shared" si="34"/>
        <v/>
      </c>
      <c r="BM107" s="330" t="str">
        <f t="shared" si="49"/>
        <v/>
      </c>
      <c r="BN107" s="330" t="str">
        <f t="shared" si="54"/>
        <v/>
      </c>
      <c r="BO107" s="330">
        <f t="shared" si="35"/>
        <v>0</v>
      </c>
      <c r="BP107" s="330">
        <f t="shared" si="36"/>
        <v>0</v>
      </c>
      <c r="BQ107" s="330">
        <f t="shared" si="37"/>
        <v>0</v>
      </c>
      <c r="BR107" s="330" t="str">
        <f t="shared" si="38"/>
        <v/>
      </c>
      <c r="BS107" s="432" t="str">
        <f t="shared" si="50"/>
        <v/>
      </c>
    </row>
    <row r="108" spans="1:71" ht="13.5" thickBot="1">
      <c r="A108" s="711"/>
      <c r="B108" s="711"/>
      <c r="C108" s="711"/>
      <c r="D108" s="711"/>
      <c r="E108" s="711"/>
      <c r="F108" s="711"/>
      <c r="G108" s="711"/>
      <c r="H108" s="711"/>
      <c r="I108" s="711"/>
      <c r="J108" s="711"/>
      <c r="K108" s="474"/>
      <c r="Q108" s="16"/>
      <c r="AB108" s="960" t="s">
        <v>1009</v>
      </c>
      <c r="AC108" s="961"/>
      <c r="AD108" s="348"/>
      <c r="AE108" s="628" t="s">
        <v>770</v>
      </c>
      <c r="AF108" s="784">
        <f>IF($AF105="",0,$AF107)</f>
        <v>0</v>
      </c>
      <c r="AG108" s="403">
        <f>IF(OR($AG105="",$AF$105=0),$C$13,$AG105-((ABS($AF$105-$AF$108))*$AA$40))</f>
        <v>0</v>
      </c>
      <c r="AI108" s="364">
        <v>63</v>
      </c>
      <c r="AJ108" s="330">
        <f t="shared" si="39"/>
        <v>0</v>
      </c>
      <c r="AK108" s="344" t="str">
        <f t="shared" si="20"/>
        <v>None</v>
      </c>
      <c r="AL108" s="330">
        <f t="shared" si="58"/>
        <v>0</v>
      </c>
      <c r="AM108" s="336">
        <f t="shared" si="51"/>
        <v>0</v>
      </c>
      <c r="AN108" s="330">
        <f t="shared" si="59"/>
        <v>0</v>
      </c>
      <c r="AO108" s="437">
        <f t="shared" si="52"/>
        <v>0</v>
      </c>
      <c r="AP108" s="348" t="b">
        <f t="shared" si="53"/>
        <v>0</v>
      </c>
      <c r="AQ108" s="348">
        <f t="shared" si="21"/>
        <v>0</v>
      </c>
      <c r="AR108" s="348">
        <f t="shared" si="22"/>
        <v>0</v>
      </c>
      <c r="AS108" s="348">
        <f t="shared" si="41"/>
        <v>0</v>
      </c>
      <c r="AT108" s="348" t="str">
        <f t="shared" si="42"/>
        <v/>
      </c>
      <c r="AU108" s="348" t="str">
        <f t="shared" si="43"/>
        <v/>
      </c>
      <c r="AV108" s="348">
        <f t="shared" si="44"/>
        <v>0</v>
      </c>
      <c r="AW108" s="348">
        <f t="shared" si="23"/>
        <v>0</v>
      </c>
      <c r="AX108" s="348">
        <f t="shared" si="24"/>
        <v>0</v>
      </c>
      <c r="AY108" s="330">
        <f t="shared" si="25"/>
        <v>0</v>
      </c>
      <c r="AZ108" s="330">
        <f t="shared" si="26"/>
        <v>0</v>
      </c>
      <c r="BA108" s="330">
        <f t="shared" si="27"/>
        <v>0</v>
      </c>
      <c r="BB108" s="330">
        <f t="shared" si="28"/>
        <v>0</v>
      </c>
      <c r="BC108" s="330">
        <f t="shared" si="29"/>
        <v>0</v>
      </c>
      <c r="BD108" s="330">
        <f t="shared" si="30"/>
        <v>0</v>
      </c>
      <c r="BE108" s="330">
        <f t="shared" si="45"/>
        <v>0</v>
      </c>
      <c r="BF108" s="330">
        <f t="shared" si="46"/>
        <v>0</v>
      </c>
      <c r="BG108" s="330">
        <f t="shared" si="31"/>
        <v>0</v>
      </c>
      <c r="BH108" s="330" t="str">
        <f t="shared" si="32"/>
        <v/>
      </c>
      <c r="BI108" s="330" t="str">
        <f t="shared" si="47"/>
        <v/>
      </c>
      <c r="BJ108" s="330" t="str">
        <f t="shared" si="48"/>
        <v/>
      </c>
      <c r="BK108" s="330" t="str">
        <f t="shared" si="33"/>
        <v/>
      </c>
      <c r="BL108" s="330" t="str">
        <f t="shared" si="34"/>
        <v/>
      </c>
      <c r="BM108" s="330" t="str">
        <f t="shared" si="49"/>
        <v/>
      </c>
      <c r="BN108" s="330" t="str">
        <f t="shared" si="54"/>
        <v/>
      </c>
      <c r="BO108" s="330">
        <f t="shared" si="35"/>
        <v>0</v>
      </c>
      <c r="BP108" s="330">
        <f t="shared" si="36"/>
        <v>0</v>
      </c>
      <c r="BQ108" s="330">
        <f t="shared" si="37"/>
        <v>0</v>
      </c>
      <c r="BR108" s="330" t="str">
        <f t="shared" si="38"/>
        <v/>
      </c>
      <c r="BS108" s="432" t="str">
        <f t="shared" si="50"/>
        <v/>
      </c>
    </row>
    <row r="109" spans="1:71" ht="15" thickBot="1">
      <c r="A109" s="711"/>
      <c r="B109" s="711"/>
      <c r="C109" s="711"/>
      <c r="D109" s="711"/>
      <c r="E109" s="711"/>
      <c r="F109" s="711"/>
      <c r="G109" s="711"/>
      <c r="H109" s="711"/>
      <c r="I109" s="711"/>
      <c r="J109" s="711"/>
      <c r="K109" s="474"/>
      <c r="P109" s="16"/>
      <c r="Q109" s="16"/>
      <c r="AB109" s="412" t="s">
        <v>733</v>
      </c>
      <c r="AC109" s="358" t="s">
        <v>732</v>
      </c>
      <c r="AD109" s="348"/>
      <c r="AE109" s="348"/>
      <c r="AI109" s="364">
        <v>64</v>
      </c>
      <c r="AJ109" s="330">
        <f t="shared" ref="AJ109:AJ172" si="65">($AI109/$AI$245)*$AJ$245</f>
        <v>0</v>
      </c>
      <c r="AK109" s="344" t="str">
        <f t="shared" ref="AK109:AK172" si="66">IF(OR($C$19="",$F$25="",$G$25=""),"None",IF(AL109&lt;$B$14,"Left Floodplain",IF(AL109&lt;$B$15,"Left Bank",IF(AL109&lt;$B$16,"Left Stream Bed",IF(AL109&lt;$B$17,"Right Stream Bed",IF(AL109&lt;$B$18,"Right Bank","Right Floodplain"))))))</f>
        <v>None</v>
      </c>
      <c r="AL109" s="330">
        <f t="shared" si="58"/>
        <v>0</v>
      </c>
      <c r="AM109" s="336">
        <f t="shared" si="51"/>
        <v>0</v>
      </c>
      <c r="AN109" s="330">
        <f t="shared" si="59"/>
        <v>0</v>
      </c>
      <c r="AO109" s="437">
        <f t="shared" si="52"/>
        <v>0</v>
      </c>
      <c r="AP109" s="348" t="b">
        <f t="shared" ref="AP109:AP172" si="67">IF($AL109&lt;$B$14,(($AL109-$B$13)*$AB$31)+$C$13,IF($AL109&lt;$B$15,(($AL109-$B$14)*$AB$32)+$C$14,IF($AL109&lt;$B$16,(($AL109-$B$15)*$AB$33)+$C$15,IF($AL109&lt;$B$17,(($AL109-$B$16)*$AB$34)+$C$16,IF($AL109&lt;$B$18,(($AL109-$B$17)*$AB$35)+$C$17,IF($AL109&lt;$B$19,(($AL109-$B$18)*$AB$36)+$C$18))))))</f>
        <v>0</v>
      </c>
      <c r="AQ109" s="348">
        <f t="shared" ref="AQ109:AQ172" si="68">IF(OR($AP109&lt;$AE$12,$AP109&lt;=$AM109),0,IF(OR($AP109&gt;=$AE$12,$AM109&gt;=$AE$12),$AP109-$AM109-$AR109,$AP109-$AE$12))</f>
        <v>0</v>
      </c>
      <c r="AR109" s="348">
        <f t="shared" ref="AR109:AR172" si="69">IF($AP109&lt;=$AM109,0,IF($AM109&gt;=$AE$12,0,IF($AP109&lt;=$AE$12,$AP109-$AM109,$AE$12-$AM109)))</f>
        <v>0</v>
      </c>
      <c r="AS109" s="348">
        <f t="shared" ref="AS109:AS172" si="70">IF(AP109&lt;=AM109,0,AP109-AM109)</f>
        <v>0</v>
      </c>
      <c r="AT109" s="348" t="str">
        <f t="shared" si="42"/>
        <v/>
      </c>
      <c r="AU109" s="348" t="str">
        <f t="shared" si="43"/>
        <v/>
      </c>
      <c r="AV109" s="348">
        <f t="shared" si="44"/>
        <v>0</v>
      </c>
      <c r="AW109" s="348">
        <f t="shared" ref="AW109:AW172" si="71">IF($AP109&lt;=$AO109,0,IF($AO109&gt;=$AE$12,0,IF($AP109&lt;=$AE$12,$AP109-$AO109,$AE$12-$AO109)))</f>
        <v>0</v>
      </c>
      <c r="AX109" s="348">
        <f t="shared" ref="AX109:AX172" si="72">IF(AP109&lt;=AO109,0,AP109-AO109)</f>
        <v>0</v>
      </c>
      <c r="AY109" s="330">
        <f t="shared" ref="AY109:AY172" si="73">IF($AS109=0,0,IF(OR($AJ109=0,$AJ109=$E$22),$AJ$46/2,$AJ$46))</f>
        <v>0</v>
      </c>
      <c r="AZ109" s="330">
        <f t="shared" ref="AZ109:AZ172" si="74">IF(OR($AK109="Left Stream Bed",$AK109="Right Stream Bed"),$F$22*$AQ109*$AY109,0)</f>
        <v>0</v>
      </c>
      <c r="BA109" s="330">
        <f t="shared" ref="BA109:BA172" si="75">IF(OR($AK109="Left Stream Bed",$AK109="Right Stream Bed"),$F$22*$AR109*$AY109,0)</f>
        <v>0</v>
      </c>
      <c r="BB109" s="330">
        <f t="shared" ref="BB109:BB172" si="76">IF(OR($AK109="Left Floodplain",$AK109="Left Bank",$AK109="Right Bank",$AK109="Right Floodplain"),$F$22*$AQ109*$AY109,0)</f>
        <v>0</v>
      </c>
      <c r="BC109" s="330">
        <f t="shared" ref="BC109:BC172" si="77">IF(OR($AK109="Left Floodplain",$AK109="Left Bank",$AK109="Right Bank",$AK109="Right Floodplain"),$F$22*$AR109*$AY109,0)</f>
        <v>0</v>
      </c>
      <c r="BD109" s="330">
        <f t="shared" ref="BD109:BD172" si="78">AX109-AS109</f>
        <v>0</v>
      </c>
      <c r="BE109" s="330">
        <f t="shared" si="45"/>
        <v>0</v>
      </c>
      <c r="BF109" s="330">
        <f t="shared" ref="BF109:BF172" si="79">AV109-AQ109</f>
        <v>0</v>
      </c>
      <c r="BG109" s="330">
        <f t="shared" ref="BG109:BG172" si="80">IF(OR($AJ109=0,$AJ109=$E$22),($BF109*$AJ$46/2)*ABS($M$17),$BF109*$AJ$46*ABS($M$17))</f>
        <v>0</v>
      </c>
      <c r="BH109" s="330" t="str">
        <f t="shared" ref="BH109:BH172" si="81">IF(OR($AM109&lt;$AP109,$AO109&gt;$AE$8),"",IF(OR($AJ109=0,$AJ109=$E$22),$AJ$46/2,$AJ$46))</f>
        <v/>
      </c>
      <c r="BI109" s="330" t="str">
        <f t="shared" si="47"/>
        <v/>
      </c>
      <c r="BJ109" s="330" t="str">
        <f t="shared" si="48"/>
        <v/>
      </c>
      <c r="BK109" s="330" t="str">
        <f t="shared" ref="BK109:BK172" si="82">IF($BJ109="","",IF(OR($BJ109&gt;($F$22/2),$BJ109=0),0,0.45-($BJ109*0.45/($F$22/2))))</f>
        <v/>
      </c>
      <c r="BL109" s="330" t="str">
        <f t="shared" ref="BL109:BL172" si="83">IF($BK109="","",IF($BK109&gt;0,$AJ109,""))</f>
        <v/>
      </c>
      <c r="BM109" s="330" t="str">
        <f t="shared" si="49"/>
        <v/>
      </c>
      <c r="BN109" s="330" t="str">
        <f t="shared" si="54"/>
        <v/>
      </c>
      <c r="BO109" s="330">
        <f t="shared" ref="BO109:BO172" si="84">IF($AO109=0,0,IF($AO109&gt;$AP109,0,IF(OR($AJ109=0,$AJ109=$E$22),$AJ$46/2,$AJ$46)))</f>
        <v>0</v>
      </c>
      <c r="BP109" s="330">
        <f t="shared" ref="BP109:BP172" si="85">IF(AND($BO109&gt;0,OR($AK109="Left Stream Bed",$AK109="Right Stream Bed")),$BO109,0)</f>
        <v>0</v>
      </c>
      <c r="BQ109" s="330">
        <f t="shared" ref="BQ109:BQ172" si="86">IF(AND($BO109&gt;0,OR($AK109="Left Floodplain",$AK109="Left Bank",$AK109="Right Bank",$AK109="Right Floodplain")),$BO109,0)</f>
        <v>0</v>
      </c>
      <c r="BR109" s="330" t="str">
        <f t="shared" ref="BR109:BR172" si="87">IF($BO109&gt;0,$AJ109,"")</f>
        <v/>
      </c>
      <c r="BS109" s="432" t="str">
        <f t="shared" si="50"/>
        <v/>
      </c>
    </row>
    <row r="110" spans="1:71">
      <c r="A110" s="711"/>
      <c r="B110" s="711"/>
      <c r="C110" s="711"/>
      <c r="D110" s="711"/>
      <c r="E110" s="711"/>
      <c r="F110" s="711"/>
      <c r="G110" s="711"/>
      <c r="H110" s="711"/>
      <c r="I110" s="711"/>
      <c r="J110" s="711"/>
      <c r="K110" s="474"/>
      <c r="P110" s="16"/>
      <c r="Q110" s="16"/>
      <c r="AA110" s="628" t="s">
        <v>767</v>
      </c>
      <c r="AB110" s="631">
        <f>IF(OR($F$25="",$H84=""),0,$AE$49-(($H84*$M$19)*$M$17))</f>
        <v>0</v>
      </c>
      <c r="AC110" s="394">
        <f>IF(OR($AB$110=0,$AB110=""),$C$13,($AF$49+(($AB110-$AE$49)*$AA$40))-($F$22/2))</f>
        <v>0</v>
      </c>
      <c r="AD110" s="348"/>
      <c r="AF110" s="963" t="s">
        <v>1260</v>
      </c>
      <c r="AG110" s="965"/>
      <c r="AI110" s="364">
        <v>65</v>
      </c>
      <c r="AJ110" s="330">
        <f t="shared" si="65"/>
        <v>0</v>
      </c>
      <c r="AK110" s="344" t="str">
        <f t="shared" si="66"/>
        <v>None</v>
      </c>
      <c r="AL110" s="330">
        <f t="shared" ref="AL110:AL141" si="88">$AL$45+ABS(AJ110*$M$19*$M$17)</f>
        <v>0</v>
      </c>
      <c r="AM110" s="336">
        <f t="shared" si="51"/>
        <v>0</v>
      </c>
      <c r="AN110" s="330">
        <f t="shared" ref="AN110:AN141" si="89">$AN$45+ABS(AJ110*$M$19*$M$17)</f>
        <v>0</v>
      </c>
      <c r="AO110" s="437">
        <f t="shared" si="52"/>
        <v>0</v>
      </c>
      <c r="AP110" s="348" t="b">
        <f t="shared" si="67"/>
        <v>0</v>
      </c>
      <c r="AQ110" s="348">
        <f t="shared" si="68"/>
        <v>0</v>
      </c>
      <c r="AR110" s="348">
        <f t="shared" si="69"/>
        <v>0</v>
      </c>
      <c r="AS110" s="348">
        <f t="shared" si="70"/>
        <v>0</v>
      </c>
      <c r="AT110" s="348" t="str">
        <f t="shared" ref="AT110:AT173" si="90">IF(OR($AS110="",$AS110=0),"",IF(OR($AK110="Left Stream Bed",$AK110="Right Stream Bed"),$AS110,""))</f>
        <v/>
      </c>
      <c r="AU110" s="348" t="str">
        <f t="shared" ref="AU110:AU173" si="91">IF(OR($AS110="",$AS110=0),"",IF(OR($AK110="Left Floodplain",$AK110="Left Bank",$AK110="Right Bank",$AK110="Right Floodplain"),$AS110,""))</f>
        <v/>
      </c>
      <c r="AV110" s="348">
        <f t="shared" ref="AV110:AV173" si="92">IF(OR($AP110&lt;$AE$12,$AP110&lt;=$AO110),0,IF($AO110&gt;=$AE$12,$AP110-$AO110,$AP110-$AE$12))</f>
        <v>0</v>
      </c>
      <c r="AW110" s="348">
        <f t="shared" si="71"/>
        <v>0</v>
      </c>
      <c r="AX110" s="348">
        <f t="shared" si="72"/>
        <v>0</v>
      </c>
      <c r="AY110" s="330">
        <f t="shared" si="73"/>
        <v>0</v>
      </c>
      <c r="AZ110" s="330">
        <f t="shared" si="74"/>
        <v>0</v>
      </c>
      <c r="BA110" s="330">
        <f t="shared" si="75"/>
        <v>0</v>
      </c>
      <c r="BB110" s="330">
        <f t="shared" si="76"/>
        <v>0</v>
      </c>
      <c r="BC110" s="330">
        <f t="shared" si="77"/>
        <v>0</v>
      </c>
      <c r="BD110" s="330">
        <f t="shared" si="78"/>
        <v>0</v>
      </c>
      <c r="BE110" s="330">
        <f t="shared" ref="BE110:BE173" si="93">$BD110*$AJ$46*ABS($M$17)</f>
        <v>0</v>
      </c>
      <c r="BF110" s="330">
        <f t="shared" si="79"/>
        <v>0</v>
      </c>
      <c r="BG110" s="330">
        <f t="shared" si="80"/>
        <v>0</v>
      </c>
      <c r="BH110" s="330" t="str">
        <f t="shared" si="81"/>
        <v/>
      </c>
      <c r="BI110" s="330" t="str">
        <f t="shared" ref="BI110:BI173" si="94">IF($BH110="","",IF($BH110&gt;0,$AJ110,""))</f>
        <v/>
      </c>
      <c r="BJ110" s="330" t="str">
        <f t="shared" ref="BJ110:BJ173" si="95">IF($BH110="","",IF(OR(($AO110-$AP110)&lt;0,$AO$45&gt;=$AE$8),0,($AO110-$AP110)))</f>
        <v/>
      </c>
      <c r="BK110" s="330" t="str">
        <f t="shared" si="82"/>
        <v/>
      </c>
      <c r="BL110" s="330" t="str">
        <f t="shared" si="83"/>
        <v/>
      </c>
      <c r="BM110" s="330" t="str">
        <f t="shared" ref="BM110:BM173" si="96">IF($BH110="","",IF(OR(($AM110-$AP110)&lt;0,$AM110&gt;=$AE$8),"",($AE$8-($AM110-(($F$22/2)/$M$19)))))</f>
        <v/>
      </c>
      <c r="BN110" s="330" t="str">
        <f t="shared" si="54"/>
        <v/>
      </c>
      <c r="BO110" s="330">
        <f t="shared" si="84"/>
        <v>0</v>
      </c>
      <c r="BP110" s="330">
        <f t="shared" si="85"/>
        <v>0</v>
      </c>
      <c r="BQ110" s="330">
        <f t="shared" si="86"/>
        <v>0</v>
      </c>
      <c r="BR110" s="330" t="str">
        <f t="shared" si="87"/>
        <v/>
      </c>
      <c r="BS110" s="432" t="str">
        <f t="shared" ref="BS110:BS173" si="97">IF($AY110&gt;0,$AJ110,"")</f>
        <v/>
      </c>
    </row>
    <row r="111" spans="1:71" ht="14.25">
      <c r="A111" s="711"/>
      <c r="B111" s="711"/>
      <c r="C111" s="711"/>
      <c r="D111" s="711"/>
      <c r="E111" s="711"/>
      <c r="F111" s="711"/>
      <c r="G111" s="711"/>
      <c r="H111" s="711"/>
      <c r="I111" s="711"/>
      <c r="J111" s="711"/>
      <c r="K111" s="474"/>
      <c r="Q111" s="18"/>
      <c r="AA111" s="628" t="s">
        <v>768</v>
      </c>
      <c r="AB111" s="631">
        <f>IF($AB110="",0,$AB110)</f>
        <v>0</v>
      </c>
      <c r="AC111" s="394">
        <f>IF(OR($AB$110=0,$AC110=""),$C$13,$AC110-4)</f>
        <v>0</v>
      </c>
      <c r="AD111" s="348"/>
      <c r="AF111" s="412" t="s">
        <v>733</v>
      </c>
      <c r="AG111" s="358" t="s">
        <v>732</v>
      </c>
      <c r="AI111" s="364">
        <v>66</v>
      </c>
      <c r="AJ111" s="330">
        <f t="shared" si="65"/>
        <v>0</v>
      </c>
      <c r="AK111" s="344" t="str">
        <f t="shared" si="66"/>
        <v>None</v>
      </c>
      <c r="AL111" s="330">
        <f t="shared" si="88"/>
        <v>0</v>
      </c>
      <c r="AM111" s="336">
        <f t="shared" ref="AM111:AM174" si="98">AM110+((AL111-AL110)*$AA$40)</f>
        <v>0</v>
      </c>
      <c r="AN111" s="330">
        <f t="shared" si="89"/>
        <v>0</v>
      </c>
      <c r="AO111" s="437">
        <f t="shared" ref="AO111:AO174" si="99">AO110+((AN111-AN110)*$AA$40)</f>
        <v>0</v>
      </c>
      <c r="AP111" s="348" t="b">
        <f t="shared" si="67"/>
        <v>0</v>
      </c>
      <c r="AQ111" s="348">
        <f t="shared" si="68"/>
        <v>0</v>
      </c>
      <c r="AR111" s="348">
        <f t="shared" si="69"/>
        <v>0</v>
      </c>
      <c r="AS111" s="348">
        <f t="shared" si="70"/>
        <v>0</v>
      </c>
      <c r="AT111" s="348" t="str">
        <f t="shared" si="90"/>
        <v/>
      </c>
      <c r="AU111" s="348" t="str">
        <f t="shared" si="91"/>
        <v/>
      </c>
      <c r="AV111" s="348">
        <f t="shared" si="92"/>
        <v>0</v>
      </c>
      <c r="AW111" s="348">
        <f t="shared" si="71"/>
        <v>0</v>
      </c>
      <c r="AX111" s="348">
        <f t="shared" si="72"/>
        <v>0</v>
      </c>
      <c r="AY111" s="330">
        <f t="shared" si="73"/>
        <v>0</v>
      </c>
      <c r="AZ111" s="330">
        <f t="shared" si="74"/>
        <v>0</v>
      </c>
      <c r="BA111" s="330">
        <f t="shared" si="75"/>
        <v>0</v>
      </c>
      <c r="BB111" s="330">
        <f t="shared" si="76"/>
        <v>0</v>
      </c>
      <c r="BC111" s="330">
        <f t="shared" si="77"/>
        <v>0</v>
      </c>
      <c r="BD111" s="330">
        <f t="shared" si="78"/>
        <v>0</v>
      </c>
      <c r="BE111" s="330">
        <f t="shared" si="93"/>
        <v>0</v>
      </c>
      <c r="BF111" s="330">
        <f t="shared" si="79"/>
        <v>0</v>
      </c>
      <c r="BG111" s="330">
        <f t="shared" si="80"/>
        <v>0</v>
      </c>
      <c r="BH111" s="330" t="str">
        <f t="shared" si="81"/>
        <v/>
      </c>
      <c r="BI111" s="330" t="str">
        <f t="shared" si="94"/>
        <v/>
      </c>
      <c r="BJ111" s="330" t="str">
        <f t="shared" si="95"/>
        <v/>
      </c>
      <c r="BK111" s="330" t="str">
        <f t="shared" si="82"/>
        <v/>
      </c>
      <c r="BL111" s="330" t="str">
        <f t="shared" si="83"/>
        <v/>
      </c>
      <c r="BM111" s="330" t="str">
        <f t="shared" si="96"/>
        <v/>
      </c>
      <c r="BN111" s="330" t="str">
        <f t="shared" ref="BN111:BN174" si="100">IF($BM111="","",(((PI()^2)/32)*($B$66^-6)*EXP(-($BM111/$F$22)/(2*($B$66^2)))))</f>
        <v/>
      </c>
      <c r="BO111" s="330">
        <f t="shared" si="84"/>
        <v>0</v>
      </c>
      <c r="BP111" s="330">
        <f t="shared" si="85"/>
        <v>0</v>
      </c>
      <c r="BQ111" s="330">
        <f t="shared" si="86"/>
        <v>0</v>
      </c>
      <c r="BR111" s="330" t="str">
        <f t="shared" si="87"/>
        <v/>
      </c>
      <c r="BS111" s="432" t="str">
        <f t="shared" si="97"/>
        <v/>
      </c>
    </row>
    <row r="112" spans="1:71">
      <c r="A112" s="711"/>
      <c r="B112" s="711"/>
      <c r="C112" s="711"/>
      <c r="D112" s="711"/>
      <c r="E112" s="711"/>
      <c r="F112" s="711"/>
      <c r="G112" s="711"/>
      <c r="H112" s="711"/>
      <c r="I112" s="711"/>
      <c r="J112" s="711"/>
      <c r="K112" s="474"/>
      <c r="R112" s="18"/>
      <c r="AB112" s="317"/>
      <c r="AC112" s="316"/>
      <c r="AD112" s="348"/>
      <c r="AE112" s="628" t="s">
        <v>767</v>
      </c>
      <c r="AF112" s="631">
        <f>IF(OR($F$25="",$C90=""),0,($AE$49-(($C90*$M$19)*$M$17))+(ABS(2*$M$17*$M$19)))</f>
        <v>0</v>
      </c>
      <c r="AG112" s="394">
        <f>IF(OR($AF112="",$AF$105=0),$C$13,($AF$49+(($AF112-$AE$49)*$AA$40))+($F$22/2))</f>
        <v>0</v>
      </c>
      <c r="AI112" s="364">
        <v>67</v>
      </c>
      <c r="AJ112" s="330">
        <f t="shared" si="65"/>
        <v>0</v>
      </c>
      <c r="AK112" s="344" t="str">
        <f t="shared" si="66"/>
        <v>None</v>
      </c>
      <c r="AL112" s="330">
        <f t="shared" si="88"/>
        <v>0</v>
      </c>
      <c r="AM112" s="336">
        <f t="shared" si="98"/>
        <v>0</v>
      </c>
      <c r="AN112" s="330">
        <f t="shared" si="89"/>
        <v>0</v>
      </c>
      <c r="AO112" s="437">
        <f t="shared" si="99"/>
        <v>0</v>
      </c>
      <c r="AP112" s="348" t="b">
        <f t="shared" si="67"/>
        <v>0</v>
      </c>
      <c r="AQ112" s="348">
        <f t="shared" si="68"/>
        <v>0</v>
      </c>
      <c r="AR112" s="348">
        <f t="shared" si="69"/>
        <v>0</v>
      </c>
      <c r="AS112" s="348">
        <f t="shared" si="70"/>
        <v>0</v>
      </c>
      <c r="AT112" s="348" t="str">
        <f t="shared" si="90"/>
        <v/>
      </c>
      <c r="AU112" s="348" t="str">
        <f t="shared" si="91"/>
        <v/>
      </c>
      <c r="AV112" s="348">
        <f t="shared" si="92"/>
        <v>0</v>
      </c>
      <c r="AW112" s="348">
        <f t="shared" si="71"/>
        <v>0</v>
      </c>
      <c r="AX112" s="348">
        <f t="shared" si="72"/>
        <v>0</v>
      </c>
      <c r="AY112" s="330">
        <f t="shared" si="73"/>
        <v>0</v>
      </c>
      <c r="AZ112" s="330">
        <f t="shared" si="74"/>
        <v>0</v>
      </c>
      <c r="BA112" s="330">
        <f t="shared" si="75"/>
        <v>0</v>
      </c>
      <c r="BB112" s="330">
        <f t="shared" si="76"/>
        <v>0</v>
      </c>
      <c r="BC112" s="330">
        <f t="shared" si="77"/>
        <v>0</v>
      </c>
      <c r="BD112" s="330">
        <f t="shared" si="78"/>
        <v>0</v>
      </c>
      <c r="BE112" s="330">
        <f t="shared" si="93"/>
        <v>0</v>
      </c>
      <c r="BF112" s="330">
        <f t="shared" si="79"/>
        <v>0</v>
      </c>
      <c r="BG112" s="330">
        <f t="shared" si="80"/>
        <v>0</v>
      </c>
      <c r="BH112" s="330" t="str">
        <f t="shared" si="81"/>
        <v/>
      </c>
      <c r="BI112" s="330" t="str">
        <f t="shared" si="94"/>
        <v/>
      </c>
      <c r="BJ112" s="330" t="str">
        <f t="shared" si="95"/>
        <v/>
      </c>
      <c r="BK112" s="330" t="str">
        <f t="shared" si="82"/>
        <v/>
      </c>
      <c r="BL112" s="330" t="str">
        <f t="shared" si="83"/>
        <v/>
      </c>
      <c r="BM112" s="330" t="str">
        <f t="shared" si="96"/>
        <v/>
      </c>
      <c r="BN112" s="330" t="str">
        <f t="shared" si="100"/>
        <v/>
      </c>
      <c r="BO112" s="330">
        <f t="shared" si="84"/>
        <v>0</v>
      </c>
      <c r="BP112" s="330">
        <f t="shared" si="85"/>
        <v>0</v>
      </c>
      <c r="BQ112" s="330">
        <f t="shared" si="86"/>
        <v>0</v>
      </c>
      <c r="BR112" s="330" t="str">
        <f t="shared" si="87"/>
        <v/>
      </c>
      <c r="BS112" s="432" t="str">
        <f t="shared" si="97"/>
        <v/>
      </c>
    </row>
    <row r="113" spans="1:71" ht="13.5" thickBot="1">
      <c r="A113" s="711"/>
      <c r="B113" s="711"/>
      <c r="C113" s="711"/>
      <c r="D113" s="711"/>
      <c r="E113" s="711"/>
      <c r="F113" s="711"/>
      <c r="G113" s="711"/>
      <c r="H113" s="711"/>
      <c r="I113" s="711"/>
      <c r="J113" s="711"/>
      <c r="K113" s="474"/>
      <c r="R113" s="18"/>
      <c r="AB113" s="337"/>
      <c r="AC113" s="340"/>
      <c r="AD113" s="348"/>
      <c r="AE113" s="628" t="s">
        <v>768</v>
      </c>
      <c r="AF113" s="631">
        <f>IF($AF112="",0,$AF112)</f>
        <v>0</v>
      </c>
      <c r="AG113" s="394">
        <f>IF(OR($AG112="",$AF$105=0),$C$13,IF($AG$105&gt;$AG$108,$AG112+2.25,$AG$108+2.25))</f>
        <v>0</v>
      </c>
      <c r="AI113" s="364">
        <v>68</v>
      </c>
      <c r="AJ113" s="330">
        <f t="shared" si="65"/>
        <v>0</v>
      </c>
      <c r="AK113" s="344" t="str">
        <f t="shared" si="66"/>
        <v>None</v>
      </c>
      <c r="AL113" s="330">
        <f t="shared" si="88"/>
        <v>0</v>
      </c>
      <c r="AM113" s="336">
        <f t="shared" si="98"/>
        <v>0</v>
      </c>
      <c r="AN113" s="330">
        <f t="shared" si="89"/>
        <v>0</v>
      </c>
      <c r="AO113" s="437">
        <f t="shared" si="99"/>
        <v>0</v>
      </c>
      <c r="AP113" s="348" t="b">
        <f t="shared" si="67"/>
        <v>0</v>
      </c>
      <c r="AQ113" s="348">
        <f t="shared" si="68"/>
        <v>0</v>
      </c>
      <c r="AR113" s="348">
        <f t="shared" si="69"/>
        <v>0</v>
      </c>
      <c r="AS113" s="348">
        <f t="shared" si="70"/>
        <v>0</v>
      </c>
      <c r="AT113" s="348" t="str">
        <f t="shared" si="90"/>
        <v/>
      </c>
      <c r="AU113" s="348" t="str">
        <f t="shared" si="91"/>
        <v/>
      </c>
      <c r="AV113" s="348">
        <f t="shared" si="92"/>
        <v>0</v>
      </c>
      <c r="AW113" s="348">
        <f t="shared" si="71"/>
        <v>0</v>
      </c>
      <c r="AX113" s="348">
        <f t="shared" si="72"/>
        <v>0</v>
      </c>
      <c r="AY113" s="330">
        <f t="shared" si="73"/>
        <v>0</v>
      </c>
      <c r="AZ113" s="330">
        <f t="shared" si="74"/>
        <v>0</v>
      </c>
      <c r="BA113" s="330">
        <f t="shared" si="75"/>
        <v>0</v>
      </c>
      <c r="BB113" s="330">
        <f t="shared" si="76"/>
        <v>0</v>
      </c>
      <c r="BC113" s="330">
        <f t="shared" si="77"/>
        <v>0</v>
      </c>
      <c r="BD113" s="330">
        <f t="shared" si="78"/>
        <v>0</v>
      </c>
      <c r="BE113" s="330">
        <f t="shared" si="93"/>
        <v>0</v>
      </c>
      <c r="BF113" s="330">
        <f t="shared" si="79"/>
        <v>0</v>
      </c>
      <c r="BG113" s="330">
        <f t="shared" si="80"/>
        <v>0</v>
      </c>
      <c r="BH113" s="330" t="str">
        <f t="shared" si="81"/>
        <v/>
      </c>
      <c r="BI113" s="330" t="str">
        <f t="shared" si="94"/>
        <v/>
      </c>
      <c r="BJ113" s="330" t="str">
        <f t="shared" si="95"/>
        <v/>
      </c>
      <c r="BK113" s="330" t="str">
        <f t="shared" si="82"/>
        <v/>
      </c>
      <c r="BL113" s="330" t="str">
        <f t="shared" si="83"/>
        <v/>
      </c>
      <c r="BM113" s="330" t="str">
        <f t="shared" si="96"/>
        <v/>
      </c>
      <c r="BN113" s="330" t="str">
        <f t="shared" si="100"/>
        <v/>
      </c>
      <c r="BO113" s="330">
        <f t="shared" si="84"/>
        <v>0</v>
      </c>
      <c r="BP113" s="330">
        <f t="shared" si="85"/>
        <v>0</v>
      </c>
      <c r="BQ113" s="330">
        <f t="shared" si="86"/>
        <v>0</v>
      </c>
      <c r="BR113" s="330" t="str">
        <f t="shared" si="87"/>
        <v/>
      </c>
      <c r="BS113" s="432" t="str">
        <f t="shared" si="97"/>
        <v/>
      </c>
    </row>
    <row r="114" spans="1:71">
      <c r="A114" s="711"/>
      <c r="B114" s="711"/>
      <c r="C114" s="711"/>
      <c r="D114" s="711"/>
      <c r="E114" s="711"/>
      <c r="F114" s="711"/>
      <c r="G114" s="711"/>
      <c r="H114" s="711"/>
      <c r="I114" s="711"/>
      <c r="J114" s="711"/>
      <c r="K114" s="474"/>
      <c r="Q114" s="18"/>
      <c r="R114" s="18"/>
      <c r="AB114" s="431"/>
      <c r="AC114" s="431"/>
      <c r="AD114" s="431"/>
      <c r="AE114" s="628" t="s">
        <v>769</v>
      </c>
      <c r="AF114" s="631">
        <f>IF(OR($F$25="",$C90=""),0,($AE$49-(($C90*$M$19)*$M$17))-(ABS(2*$M$17*$M$19)))</f>
        <v>0</v>
      </c>
      <c r="AG114" s="394">
        <f>IF(OR($AG113="",$AF$105=0),$C$13,$AG113)</f>
        <v>0</v>
      </c>
      <c r="AI114" s="364">
        <v>69</v>
      </c>
      <c r="AJ114" s="330">
        <f t="shared" si="65"/>
        <v>0</v>
      </c>
      <c r="AK114" s="344" t="str">
        <f t="shared" si="66"/>
        <v>None</v>
      </c>
      <c r="AL114" s="330">
        <f t="shared" si="88"/>
        <v>0</v>
      </c>
      <c r="AM114" s="336">
        <f t="shared" si="98"/>
        <v>0</v>
      </c>
      <c r="AN114" s="330">
        <f t="shared" si="89"/>
        <v>0</v>
      </c>
      <c r="AO114" s="437">
        <f t="shared" si="99"/>
        <v>0</v>
      </c>
      <c r="AP114" s="348" t="b">
        <f t="shared" si="67"/>
        <v>0</v>
      </c>
      <c r="AQ114" s="348">
        <f t="shared" si="68"/>
        <v>0</v>
      </c>
      <c r="AR114" s="348">
        <f t="shared" si="69"/>
        <v>0</v>
      </c>
      <c r="AS114" s="348">
        <f t="shared" si="70"/>
        <v>0</v>
      </c>
      <c r="AT114" s="348" t="str">
        <f t="shared" si="90"/>
        <v/>
      </c>
      <c r="AU114" s="348" t="str">
        <f t="shared" si="91"/>
        <v/>
      </c>
      <c r="AV114" s="348">
        <f t="shared" si="92"/>
        <v>0</v>
      </c>
      <c r="AW114" s="348">
        <f t="shared" si="71"/>
        <v>0</v>
      </c>
      <c r="AX114" s="348">
        <f t="shared" si="72"/>
        <v>0</v>
      </c>
      <c r="AY114" s="330">
        <f t="shared" si="73"/>
        <v>0</v>
      </c>
      <c r="AZ114" s="330">
        <f t="shared" si="74"/>
        <v>0</v>
      </c>
      <c r="BA114" s="330">
        <f t="shared" si="75"/>
        <v>0</v>
      </c>
      <c r="BB114" s="330">
        <f t="shared" si="76"/>
        <v>0</v>
      </c>
      <c r="BC114" s="330">
        <f t="shared" si="77"/>
        <v>0</v>
      </c>
      <c r="BD114" s="330">
        <f t="shared" si="78"/>
        <v>0</v>
      </c>
      <c r="BE114" s="330">
        <f t="shared" si="93"/>
        <v>0</v>
      </c>
      <c r="BF114" s="330">
        <f t="shared" si="79"/>
        <v>0</v>
      </c>
      <c r="BG114" s="330">
        <f t="shared" si="80"/>
        <v>0</v>
      </c>
      <c r="BH114" s="330" t="str">
        <f t="shared" si="81"/>
        <v/>
      </c>
      <c r="BI114" s="330" t="str">
        <f t="shared" si="94"/>
        <v/>
      </c>
      <c r="BJ114" s="330" t="str">
        <f t="shared" si="95"/>
        <v/>
      </c>
      <c r="BK114" s="330" t="str">
        <f t="shared" si="82"/>
        <v/>
      </c>
      <c r="BL114" s="330" t="str">
        <f t="shared" si="83"/>
        <v/>
      </c>
      <c r="BM114" s="330" t="str">
        <f t="shared" si="96"/>
        <v/>
      </c>
      <c r="BN114" s="330" t="str">
        <f t="shared" si="100"/>
        <v/>
      </c>
      <c r="BO114" s="330">
        <f t="shared" si="84"/>
        <v>0</v>
      </c>
      <c r="BP114" s="330">
        <f t="shared" si="85"/>
        <v>0</v>
      </c>
      <c r="BQ114" s="330">
        <f t="shared" si="86"/>
        <v>0</v>
      </c>
      <c r="BR114" s="330" t="str">
        <f t="shared" si="87"/>
        <v/>
      </c>
      <c r="BS114" s="432" t="str">
        <f t="shared" si="97"/>
        <v/>
      </c>
    </row>
    <row r="115" spans="1:71" ht="16.149999999999999" customHeight="1" thickBot="1">
      <c r="A115" s="711"/>
      <c r="B115" s="711"/>
      <c r="C115" s="711"/>
      <c r="D115" s="711"/>
      <c r="E115" s="711"/>
      <c r="F115" s="711"/>
      <c r="G115" s="711"/>
      <c r="H115" s="711"/>
      <c r="I115" s="711"/>
      <c r="J115" s="711"/>
      <c r="K115" s="474"/>
      <c r="Q115" s="18"/>
      <c r="R115" s="18"/>
      <c r="W115" s="431"/>
      <c r="AB115" s="431"/>
      <c r="AC115" s="431"/>
      <c r="AD115" s="431"/>
      <c r="AE115" s="628" t="s">
        <v>770</v>
      </c>
      <c r="AF115" s="784">
        <f>IF($AF112="",0,$AF114)</f>
        <v>0</v>
      </c>
      <c r="AG115" s="403">
        <f>IF(OR($AG112="",$AF$105=0),$C$13,$AG112-((ABS($AF$105-$AF$108))*$AA$40))</f>
        <v>0</v>
      </c>
      <c r="AI115" s="364">
        <v>70</v>
      </c>
      <c r="AJ115" s="330">
        <f t="shared" si="65"/>
        <v>0</v>
      </c>
      <c r="AK115" s="344" t="str">
        <f t="shared" si="66"/>
        <v>None</v>
      </c>
      <c r="AL115" s="330">
        <f t="shared" si="88"/>
        <v>0</v>
      </c>
      <c r="AM115" s="336">
        <f t="shared" si="98"/>
        <v>0</v>
      </c>
      <c r="AN115" s="330">
        <f t="shared" si="89"/>
        <v>0</v>
      </c>
      <c r="AO115" s="437">
        <f t="shared" si="99"/>
        <v>0</v>
      </c>
      <c r="AP115" s="348" t="b">
        <f t="shared" si="67"/>
        <v>0</v>
      </c>
      <c r="AQ115" s="348">
        <f t="shared" si="68"/>
        <v>0</v>
      </c>
      <c r="AR115" s="348">
        <f t="shared" si="69"/>
        <v>0</v>
      </c>
      <c r="AS115" s="348">
        <f t="shared" si="70"/>
        <v>0</v>
      </c>
      <c r="AT115" s="348" t="str">
        <f t="shared" si="90"/>
        <v/>
      </c>
      <c r="AU115" s="348" t="str">
        <f t="shared" si="91"/>
        <v/>
      </c>
      <c r="AV115" s="348">
        <f t="shared" si="92"/>
        <v>0</v>
      </c>
      <c r="AW115" s="348">
        <f t="shared" si="71"/>
        <v>0</v>
      </c>
      <c r="AX115" s="348">
        <f t="shared" si="72"/>
        <v>0</v>
      </c>
      <c r="AY115" s="330">
        <f t="shared" si="73"/>
        <v>0</v>
      </c>
      <c r="AZ115" s="330">
        <f t="shared" si="74"/>
        <v>0</v>
      </c>
      <c r="BA115" s="330">
        <f t="shared" si="75"/>
        <v>0</v>
      </c>
      <c r="BB115" s="330">
        <f t="shared" si="76"/>
        <v>0</v>
      </c>
      <c r="BC115" s="330">
        <f t="shared" si="77"/>
        <v>0</v>
      </c>
      <c r="BD115" s="330">
        <f t="shared" si="78"/>
        <v>0</v>
      </c>
      <c r="BE115" s="330">
        <f t="shared" si="93"/>
        <v>0</v>
      </c>
      <c r="BF115" s="330">
        <f t="shared" si="79"/>
        <v>0</v>
      </c>
      <c r="BG115" s="330">
        <f t="shared" si="80"/>
        <v>0</v>
      </c>
      <c r="BH115" s="330" t="str">
        <f t="shared" si="81"/>
        <v/>
      </c>
      <c r="BI115" s="330" t="str">
        <f t="shared" si="94"/>
        <v/>
      </c>
      <c r="BJ115" s="330" t="str">
        <f t="shared" si="95"/>
        <v/>
      </c>
      <c r="BK115" s="330" t="str">
        <f t="shared" si="82"/>
        <v/>
      </c>
      <c r="BL115" s="330" t="str">
        <f t="shared" si="83"/>
        <v/>
      </c>
      <c r="BM115" s="330" t="str">
        <f t="shared" si="96"/>
        <v/>
      </c>
      <c r="BN115" s="330" t="str">
        <f t="shared" si="100"/>
        <v/>
      </c>
      <c r="BO115" s="330">
        <f t="shared" si="84"/>
        <v>0</v>
      </c>
      <c r="BP115" s="330">
        <f t="shared" si="85"/>
        <v>0</v>
      </c>
      <c r="BQ115" s="330">
        <f t="shared" si="86"/>
        <v>0</v>
      </c>
      <c r="BR115" s="330" t="str">
        <f t="shared" si="87"/>
        <v/>
      </c>
      <c r="BS115" s="432" t="str">
        <f t="shared" si="97"/>
        <v/>
      </c>
    </row>
    <row r="116" spans="1:71">
      <c r="A116" s="711"/>
      <c r="B116" s="711"/>
      <c r="C116" s="711"/>
      <c r="D116" s="711"/>
      <c r="E116" s="711"/>
      <c r="F116" s="711"/>
      <c r="G116" s="711"/>
      <c r="H116" s="711"/>
      <c r="I116" s="711"/>
      <c r="J116" s="711"/>
      <c r="K116" s="474"/>
      <c r="Q116" s="18"/>
      <c r="R116" s="18"/>
      <c r="W116" s="357"/>
      <c r="X116" s="357"/>
      <c r="Y116" s="431"/>
      <c r="Z116" s="357"/>
      <c r="AA116" s="357"/>
      <c r="AB116" s="357"/>
      <c r="AC116" s="431"/>
      <c r="AD116" s="357"/>
      <c r="AE116" s="357"/>
      <c r="AI116" s="364">
        <v>71</v>
      </c>
      <c r="AJ116" s="330">
        <f t="shared" si="65"/>
        <v>0</v>
      </c>
      <c r="AK116" s="344" t="str">
        <f t="shared" si="66"/>
        <v>None</v>
      </c>
      <c r="AL116" s="330">
        <f t="shared" si="88"/>
        <v>0</v>
      </c>
      <c r="AM116" s="336">
        <f t="shared" si="98"/>
        <v>0</v>
      </c>
      <c r="AN116" s="330">
        <f t="shared" si="89"/>
        <v>0</v>
      </c>
      <c r="AO116" s="437">
        <f t="shared" si="99"/>
        <v>0</v>
      </c>
      <c r="AP116" s="348" t="b">
        <f t="shared" si="67"/>
        <v>0</v>
      </c>
      <c r="AQ116" s="348">
        <f t="shared" si="68"/>
        <v>0</v>
      </c>
      <c r="AR116" s="348">
        <f t="shared" si="69"/>
        <v>0</v>
      </c>
      <c r="AS116" s="348">
        <f t="shared" si="70"/>
        <v>0</v>
      </c>
      <c r="AT116" s="348" t="str">
        <f t="shared" si="90"/>
        <v/>
      </c>
      <c r="AU116" s="348" t="str">
        <f t="shared" si="91"/>
        <v/>
      </c>
      <c r="AV116" s="348">
        <f t="shared" si="92"/>
        <v>0</v>
      </c>
      <c r="AW116" s="348">
        <f t="shared" si="71"/>
        <v>0</v>
      </c>
      <c r="AX116" s="348">
        <f t="shared" si="72"/>
        <v>0</v>
      </c>
      <c r="AY116" s="330">
        <f t="shared" si="73"/>
        <v>0</v>
      </c>
      <c r="AZ116" s="330">
        <f t="shared" si="74"/>
        <v>0</v>
      </c>
      <c r="BA116" s="330">
        <f t="shared" si="75"/>
        <v>0</v>
      </c>
      <c r="BB116" s="330">
        <f t="shared" si="76"/>
        <v>0</v>
      </c>
      <c r="BC116" s="330">
        <f t="shared" si="77"/>
        <v>0</v>
      </c>
      <c r="BD116" s="330">
        <f t="shared" si="78"/>
        <v>0</v>
      </c>
      <c r="BE116" s="330">
        <f t="shared" si="93"/>
        <v>0</v>
      </c>
      <c r="BF116" s="330">
        <f t="shared" si="79"/>
        <v>0</v>
      </c>
      <c r="BG116" s="330">
        <f t="shared" si="80"/>
        <v>0</v>
      </c>
      <c r="BH116" s="330" t="str">
        <f t="shared" si="81"/>
        <v/>
      </c>
      <c r="BI116" s="330" t="str">
        <f t="shared" si="94"/>
        <v/>
      </c>
      <c r="BJ116" s="330" t="str">
        <f t="shared" si="95"/>
        <v/>
      </c>
      <c r="BK116" s="330" t="str">
        <f t="shared" si="82"/>
        <v/>
      </c>
      <c r="BL116" s="330" t="str">
        <f t="shared" si="83"/>
        <v/>
      </c>
      <c r="BM116" s="330" t="str">
        <f t="shared" si="96"/>
        <v/>
      </c>
      <c r="BN116" s="330" t="str">
        <f t="shared" si="100"/>
        <v/>
      </c>
      <c r="BO116" s="330">
        <f t="shared" si="84"/>
        <v>0</v>
      </c>
      <c r="BP116" s="330">
        <f t="shared" si="85"/>
        <v>0</v>
      </c>
      <c r="BQ116" s="330">
        <f t="shared" si="86"/>
        <v>0</v>
      </c>
      <c r="BR116" s="330" t="str">
        <f t="shared" si="87"/>
        <v/>
      </c>
      <c r="BS116" s="432" t="str">
        <f t="shared" si="97"/>
        <v/>
      </c>
    </row>
    <row r="117" spans="1:71">
      <c r="A117" s="711"/>
      <c r="B117" s="711"/>
      <c r="C117" s="711"/>
      <c r="D117" s="711"/>
      <c r="E117" s="711"/>
      <c r="F117" s="711"/>
      <c r="G117" s="711"/>
      <c r="H117" s="711"/>
      <c r="I117" s="711"/>
      <c r="J117" s="711"/>
      <c r="K117" s="474"/>
      <c r="Q117" s="18"/>
      <c r="R117" s="18"/>
      <c r="S117" s="357"/>
      <c r="T117" s="348"/>
      <c r="U117" s="431"/>
      <c r="V117" s="348"/>
      <c r="W117" s="348"/>
      <c r="X117" s="348"/>
      <c r="Y117" s="431"/>
      <c r="Z117" s="348"/>
      <c r="AA117" s="348"/>
      <c r="AB117" s="348"/>
      <c r="AC117" s="431"/>
      <c r="AD117" s="348"/>
      <c r="AE117" s="348"/>
      <c r="AI117" s="364">
        <v>72</v>
      </c>
      <c r="AJ117" s="330">
        <f t="shared" si="65"/>
        <v>0</v>
      </c>
      <c r="AK117" s="344" t="str">
        <f t="shared" si="66"/>
        <v>None</v>
      </c>
      <c r="AL117" s="330">
        <f t="shared" si="88"/>
        <v>0</v>
      </c>
      <c r="AM117" s="336">
        <f t="shared" si="98"/>
        <v>0</v>
      </c>
      <c r="AN117" s="330">
        <f t="shared" si="89"/>
        <v>0</v>
      </c>
      <c r="AO117" s="437">
        <f t="shared" si="99"/>
        <v>0</v>
      </c>
      <c r="AP117" s="348" t="b">
        <f t="shared" si="67"/>
        <v>0</v>
      </c>
      <c r="AQ117" s="348">
        <f t="shared" si="68"/>
        <v>0</v>
      </c>
      <c r="AR117" s="348">
        <f t="shared" si="69"/>
        <v>0</v>
      </c>
      <c r="AS117" s="348">
        <f t="shared" si="70"/>
        <v>0</v>
      </c>
      <c r="AT117" s="348" t="str">
        <f t="shared" si="90"/>
        <v/>
      </c>
      <c r="AU117" s="348" t="str">
        <f t="shared" si="91"/>
        <v/>
      </c>
      <c r="AV117" s="348">
        <f t="shared" si="92"/>
        <v>0</v>
      </c>
      <c r="AW117" s="348">
        <f t="shared" si="71"/>
        <v>0</v>
      </c>
      <c r="AX117" s="348">
        <f t="shared" si="72"/>
        <v>0</v>
      </c>
      <c r="AY117" s="330">
        <f t="shared" si="73"/>
        <v>0</v>
      </c>
      <c r="AZ117" s="330">
        <f t="shared" si="74"/>
        <v>0</v>
      </c>
      <c r="BA117" s="330">
        <f t="shared" si="75"/>
        <v>0</v>
      </c>
      <c r="BB117" s="330">
        <f t="shared" si="76"/>
        <v>0</v>
      </c>
      <c r="BC117" s="330">
        <f t="shared" si="77"/>
        <v>0</v>
      </c>
      <c r="BD117" s="330">
        <f t="shared" si="78"/>
        <v>0</v>
      </c>
      <c r="BE117" s="330">
        <f t="shared" si="93"/>
        <v>0</v>
      </c>
      <c r="BF117" s="330">
        <f t="shared" si="79"/>
        <v>0</v>
      </c>
      <c r="BG117" s="330">
        <f t="shared" si="80"/>
        <v>0</v>
      </c>
      <c r="BH117" s="330" t="str">
        <f t="shared" si="81"/>
        <v/>
      </c>
      <c r="BI117" s="330" t="str">
        <f t="shared" si="94"/>
        <v/>
      </c>
      <c r="BJ117" s="330" t="str">
        <f t="shared" si="95"/>
        <v/>
      </c>
      <c r="BK117" s="330" t="str">
        <f t="shared" si="82"/>
        <v/>
      </c>
      <c r="BL117" s="330" t="str">
        <f t="shared" si="83"/>
        <v/>
      </c>
      <c r="BM117" s="330" t="str">
        <f t="shared" si="96"/>
        <v/>
      </c>
      <c r="BN117" s="330" t="str">
        <f t="shared" si="100"/>
        <v/>
      </c>
      <c r="BO117" s="330">
        <f t="shared" si="84"/>
        <v>0</v>
      </c>
      <c r="BP117" s="330">
        <f t="shared" si="85"/>
        <v>0</v>
      </c>
      <c r="BQ117" s="330">
        <f t="shared" si="86"/>
        <v>0</v>
      </c>
      <c r="BR117" s="330" t="str">
        <f t="shared" si="87"/>
        <v/>
      </c>
      <c r="BS117" s="432" t="str">
        <f t="shared" si="97"/>
        <v/>
      </c>
    </row>
    <row r="118" spans="1:71">
      <c r="A118" s="711"/>
      <c r="B118" s="711"/>
      <c r="C118" s="711"/>
      <c r="D118" s="711"/>
      <c r="E118" s="711"/>
      <c r="F118" s="711"/>
      <c r="G118" s="711"/>
      <c r="H118" s="711"/>
      <c r="I118" s="711"/>
      <c r="J118" s="711"/>
      <c r="K118" s="474"/>
      <c r="Q118" s="18"/>
      <c r="R118" s="18"/>
      <c r="S118" s="357"/>
      <c r="T118" s="348"/>
      <c r="U118" s="431"/>
      <c r="V118" s="348"/>
      <c r="W118" s="348"/>
      <c r="X118" s="348"/>
      <c r="Y118" s="431"/>
      <c r="Z118" s="348"/>
      <c r="AA118" s="348"/>
      <c r="AB118" s="348"/>
      <c r="AC118" s="431"/>
      <c r="AD118" s="348"/>
      <c r="AE118" s="348"/>
      <c r="AI118" s="364">
        <v>73</v>
      </c>
      <c r="AJ118" s="330">
        <f t="shared" si="65"/>
        <v>0</v>
      </c>
      <c r="AK118" s="344" t="str">
        <f t="shared" si="66"/>
        <v>None</v>
      </c>
      <c r="AL118" s="330">
        <f t="shared" si="88"/>
        <v>0</v>
      </c>
      <c r="AM118" s="336">
        <f t="shared" si="98"/>
        <v>0</v>
      </c>
      <c r="AN118" s="330">
        <f t="shared" si="89"/>
        <v>0</v>
      </c>
      <c r="AO118" s="437">
        <f t="shared" si="99"/>
        <v>0</v>
      </c>
      <c r="AP118" s="348" t="b">
        <f t="shared" si="67"/>
        <v>0</v>
      </c>
      <c r="AQ118" s="348">
        <f t="shared" si="68"/>
        <v>0</v>
      </c>
      <c r="AR118" s="348">
        <f t="shared" si="69"/>
        <v>0</v>
      </c>
      <c r="AS118" s="348">
        <f t="shared" si="70"/>
        <v>0</v>
      </c>
      <c r="AT118" s="348" t="str">
        <f t="shared" si="90"/>
        <v/>
      </c>
      <c r="AU118" s="348" t="str">
        <f t="shared" si="91"/>
        <v/>
      </c>
      <c r="AV118" s="348">
        <f t="shared" si="92"/>
        <v>0</v>
      </c>
      <c r="AW118" s="348">
        <f t="shared" si="71"/>
        <v>0</v>
      </c>
      <c r="AX118" s="348">
        <f t="shared" si="72"/>
        <v>0</v>
      </c>
      <c r="AY118" s="330">
        <f t="shared" si="73"/>
        <v>0</v>
      </c>
      <c r="AZ118" s="330">
        <f t="shared" si="74"/>
        <v>0</v>
      </c>
      <c r="BA118" s="330">
        <f t="shared" si="75"/>
        <v>0</v>
      </c>
      <c r="BB118" s="330">
        <f t="shared" si="76"/>
        <v>0</v>
      </c>
      <c r="BC118" s="330">
        <f t="shared" si="77"/>
        <v>0</v>
      </c>
      <c r="BD118" s="330">
        <f t="shared" si="78"/>
        <v>0</v>
      </c>
      <c r="BE118" s="330">
        <f t="shared" si="93"/>
        <v>0</v>
      </c>
      <c r="BF118" s="330">
        <f t="shared" si="79"/>
        <v>0</v>
      </c>
      <c r="BG118" s="330">
        <f t="shared" si="80"/>
        <v>0</v>
      </c>
      <c r="BH118" s="330" t="str">
        <f t="shared" si="81"/>
        <v/>
      </c>
      <c r="BI118" s="330" t="str">
        <f t="shared" si="94"/>
        <v/>
      </c>
      <c r="BJ118" s="330" t="str">
        <f t="shared" si="95"/>
        <v/>
      </c>
      <c r="BK118" s="330" t="str">
        <f t="shared" si="82"/>
        <v/>
      </c>
      <c r="BL118" s="330" t="str">
        <f t="shared" si="83"/>
        <v/>
      </c>
      <c r="BM118" s="330" t="str">
        <f t="shared" si="96"/>
        <v/>
      </c>
      <c r="BN118" s="330" t="str">
        <f t="shared" si="100"/>
        <v/>
      </c>
      <c r="BO118" s="330">
        <f t="shared" si="84"/>
        <v>0</v>
      </c>
      <c r="BP118" s="330">
        <f t="shared" si="85"/>
        <v>0</v>
      </c>
      <c r="BQ118" s="330">
        <f t="shared" si="86"/>
        <v>0</v>
      </c>
      <c r="BR118" s="330" t="str">
        <f t="shared" si="87"/>
        <v/>
      </c>
      <c r="BS118" s="432" t="str">
        <f t="shared" si="97"/>
        <v/>
      </c>
    </row>
    <row r="119" spans="1:71">
      <c r="A119" s="711"/>
      <c r="B119" s="711"/>
      <c r="C119" s="711"/>
      <c r="D119" s="711"/>
      <c r="E119" s="711"/>
      <c r="F119" s="711"/>
      <c r="G119" s="711"/>
      <c r="H119" s="711"/>
      <c r="I119" s="711"/>
      <c r="J119" s="711"/>
      <c r="K119" s="474"/>
      <c r="Q119" s="18"/>
      <c r="R119" s="18"/>
      <c r="S119" s="357"/>
      <c r="T119" s="348"/>
      <c r="U119" s="431"/>
      <c r="V119" s="348"/>
      <c r="W119" s="348"/>
      <c r="X119" s="348"/>
      <c r="Y119" s="431"/>
      <c r="Z119" s="348"/>
      <c r="AA119" s="348"/>
      <c r="AB119" s="348"/>
      <c r="AC119" s="431"/>
      <c r="AD119" s="348"/>
      <c r="AE119" s="348"/>
      <c r="AI119" s="364">
        <v>74</v>
      </c>
      <c r="AJ119" s="330">
        <f t="shared" si="65"/>
        <v>0</v>
      </c>
      <c r="AK119" s="344" t="str">
        <f t="shared" si="66"/>
        <v>None</v>
      </c>
      <c r="AL119" s="330">
        <f t="shared" si="88"/>
        <v>0</v>
      </c>
      <c r="AM119" s="336">
        <f t="shared" si="98"/>
        <v>0</v>
      </c>
      <c r="AN119" s="330">
        <f t="shared" si="89"/>
        <v>0</v>
      </c>
      <c r="AO119" s="437">
        <f t="shared" si="99"/>
        <v>0</v>
      </c>
      <c r="AP119" s="348" t="b">
        <f t="shared" si="67"/>
        <v>0</v>
      </c>
      <c r="AQ119" s="348">
        <f t="shared" si="68"/>
        <v>0</v>
      </c>
      <c r="AR119" s="348">
        <f t="shared" si="69"/>
        <v>0</v>
      </c>
      <c r="AS119" s="348">
        <f t="shared" si="70"/>
        <v>0</v>
      </c>
      <c r="AT119" s="348" t="str">
        <f t="shared" si="90"/>
        <v/>
      </c>
      <c r="AU119" s="348" t="str">
        <f t="shared" si="91"/>
        <v/>
      </c>
      <c r="AV119" s="348">
        <f t="shared" si="92"/>
        <v>0</v>
      </c>
      <c r="AW119" s="348">
        <f t="shared" si="71"/>
        <v>0</v>
      </c>
      <c r="AX119" s="348">
        <f t="shared" si="72"/>
        <v>0</v>
      </c>
      <c r="AY119" s="330">
        <f t="shared" si="73"/>
        <v>0</v>
      </c>
      <c r="AZ119" s="330">
        <f t="shared" si="74"/>
        <v>0</v>
      </c>
      <c r="BA119" s="330">
        <f t="shared" si="75"/>
        <v>0</v>
      </c>
      <c r="BB119" s="330">
        <f t="shared" si="76"/>
        <v>0</v>
      </c>
      <c r="BC119" s="330">
        <f t="shared" si="77"/>
        <v>0</v>
      </c>
      <c r="BD119" s="330">
        <f t="shared" si="78"/>
        <v>0</v>
      </c>
      <c r="BE119" s="330">
        <f t="shared" si="93"/>
        <v>0</v>
      </c>
      <c r="BF119" s="330">
        <f t="shared" si="79"/>
        <v>0</v>
      </c>
      <c r="BG119" s="330">
        <f t="shared" si="80"/>
        <v>0</v>
      </c>
      <c r="BH119" s="330" t="str">
        <f t="shared" si="81"/>
        <v/>
      </c>
      <c r="BI119" s="330" t="str">
        <f t="shared" si="94"/>
        <v/>
      </c>
      <c r="BJ119" s="330" t="str">
        <f t="shared" si="95"/>
        <v/>
      </c>
      <c r="BK119" s="330" t="str">
        <f t="shared" si="82"/>
        <v/>
      </c>
      <c r="BL119" s="330" t="str">
        <f t="shared" si="83"/>
        <v/>
      </c>
      <c r="BM119" s="330" t="str">
        <f t="shared" si="96"/>
        <v/>
      </c>
      <c r="BN119" s="330" t="str">
        <f t="shared" si="100"/>
        <v/>
      </c>
      <c r="BO119" s="330">
        <f t="shared" si="84"/>
        <v>0</v>
      </c>
      <c r="BP119" s="330">
        <f t="shared" si="85"/>
        <v>0</v>
      </c>
      <c r="BQ119" s="330">
        <f t="shared" si="86"/>
        <v>0</v>
      </c>
      <c r="BR119" s="330" t="str">
        <f t="shared" si="87"/>
        <v/>
      </c>
      <c r="BS119" s="432" t="str">
        <f t="shared" si="97"/>
        <v/>
      </c>
    </row>
    <row r="120" spans="1:71">
      <c r="A120" s="711"/>
      <c r="B120" s="711"/>
      <c r="C120" s="711"/>
      <c r="D120" s="711"/>
      <c r="E120" s="711"/>
      <c r="F120" s="711"/>
      <c r="G120" s="711"/>
      <c r="H120" s="711"/>
      <c r="I120" s="711"/>
      <c r="J120" s="711"/>
      <c r="K120" s="474"/>
      <c r="Q120" s="18"/>
      <c r="R120" s="18"/>
      <c r="S120" s="431"/>
      <c r="T120" s="431"/>
      <c r="U120" s="431"/>
      <c r="V120" s="431"/>
      <c r="W120" s="431"/>
      <c r="X120" s="431"/>
      <c r="Y120" s="431"/>
      <c r="Z120" s="431"/>
      <c r="AA120" s="431"/>
      <c r="AB120" s="431"/>
      <c r="AC120" s="431"/>
      <c r="AD120" s="431"/>
      <c r="AE120" s="431"/>
      <c r="AI120" s="364">
        <v>75</v>
      </c>
      <c r="AJ120" s="330">
        <f t="shared" si="65"/>
        <v>0</v>
      </c>
      <c r="AK120" s="344" t="str">
        <f t="shared" si="66"/>
        <v>None</v>
      </c>
      <c r="AL120" s="330">
        <f t="shared" si="88"/>
        <v>0</v>
      </c>
      <c r="AM120" s="336">
        <f t="shared" si="98"/>
        <v>0</v>
      </c>
      <c r="AN120" s="330">
        <f t="shared" si="89"/>
        <v>0</v>
      </c>
      <c r="AO120" s="437">
        <f t="shared" si="99"/>
        <v>0</v>
      </c>
      <c r="AP120" s="348" t="b">
        <f t="shared" si="67"/>
        <v>0</v>
      </c>
      <c r="AQ120" s="348">
        <f t="shared" si="68"/>
        <v>0</v>
      </c>
      <c r="AR120" s="348">
        <f t="shared" si="69"/>
        <v>0</v>
      </c>
      <c r="AS120" s="348">
        <f t="shared" si="70"/>
        <v>0</v>
      </c>
      <c r="AT120" s="348" t="str">
        <f t="shared" si="90"/>
        <v/>
      </c>
      <c r="AU120" s="348" t="str">
        <f t="shared" si="91"/>
        <v/>
      </c>
      <c r="AV120" s="348">
        <f t="shared" si="92"/>
        <v>0</v>
      </c>
      <c r="AW120" s="348">
        <f t="shared" si="71"/>
        <v>0</v>
      </c>
      <c r="AX120" s="348">
        <f t="shared" si="72"/>
        <v>0</v>
      </c>
      <c r="AY120" s="330">
        <f t="shared" si="73"/>
        <v>0</v>
      </c>
      <c r="AZ120" s="330">
        <f t="shared" si="74"/>
        <v>0</v>
      </c>
      <c r="BA120" s="330">
        <f t="shared" si="75"/>
        <v>0</v>
      </c>
      <c r="BB120" s="330">
        <f t="shared" si="76"/>
        <v>0</v>
      </c>
      <c r="BC120" s="330">
        <f t="shared" si="77"/>
        <v>0</v>
      </c>
      <c r="BD120" s="330">
        <f t="shared" si="78"/>
        <v>0</v>
      </c>
      <c r="BE120" s="330">
        <f t="shared" si="93"/>
        <v>0</v>
      </c>
      <c r="BF120" s="330">
        <f t="shared" si="79"/>
        <v>0</v>
      </c>
      <c r="BG120" s="330">
        <f t="shared" si="80"/>
        <v>0</v>
      </c>
      <c r="BH120" s="330" t="str">
        <f t="shared" si="81"/>
        <v/>
      </c>
      <c r="BI120" s="330" t="str">
        <f t="shared" si="94"/>
        <v/>
      </c>
      <c r="BJ120" s="330" t="str">
        <f t="shared" si="95"/>
        <v/>
      </c>
      <c r="BK120" s="330" t="str">
        <f t="shared" si="82"/>
        <v/>
      </c>
      <c r="BL120" s="330" t="str">
        <f t="shared" si="83"/>
        <v/>
      </c>
      <c r="BM120" s="330" t="str">
        <f t="shared" si="96"/>
        <v/>
      </c>
      <c r="BN120" s="330" t="str">
        <f t="shared" si="100"/>
        <v/>
      </c>
      <c r="BO120" s="330">
        <f t="shared" si="84"/>
        <v>0</v>
      </c>
      <c r="BP120" s="330">
        <f t="shared" si="85"/>
        <v>0</v>
      </c>
      <c r="BQ120" s="330">
        <f t="shared" si="86"/>
        <v>0</v>
      </c>
      <c r="BR120" s="330" t="str">
        <f t="shared" si="87"/>
        <v/>
      </c>
      <c r="BS120" s="432" t="str">
        <f t="shared" si="97"/>
        <v/>
      </c>
    </row>
    <row r="121" spans="1:71">
      <c r="A121" s="592"/>
      <c r="B121" s="592"/>
      <c r="C121" s="592"/>
      <c r="D121" s="592"/>
      <c r="E121" s="592"/>
      <c r="F121" s="592"/>
      <c r="G121" s="592"/>
      <c r="H121" s="592"/>
      <c r="I121" s="592"/>
      <c r="J121" s="592"/>
      <c r="K121" s="474"/>
      <c r="Q121" s="18"/>
      <c r="R121" s="18"/>
      <c r="S121" s="431"/>
      <c r="T121" s="357"/>
      <c r="U121" s="357"/>
      <c r="V121" s="357"/>
      <c r="W121" s="357"/>
      <c r="X121" s="357"/>
      <c r="Y121" s="357"/>
      <c r="Z121" s="357"/>
      <c r="AA121" s="357"/>
      <c r="AB121" s="431"/>
      <c r="AC121" s="431"/>
      <c r="AD121" s="431"/>
      <c r="AE121" s="431"/>
      <c r="AI121" s="364">
        <v>76</v>
      </c>
      <c r="AJ121" s="330">
        <f t="shared" si="65"/>
        <v>0</v>
      </c>
      <c r="AK121" s="344" t="str">
        <f t="shared" si="66"/>
        <v>None</v>
      </c>
      <c r="AL121" s="330">
        <f t="shared" si="88"/>
        <v>0</v>
      </c>
      <c r="AM121" s="336">
        <f t="shared" si="98"/>
        <v>0</v>
      </c>
      <c r="AN121" s="330">
        <f t="shared" si="89"/>
        <v>0</v>
      </c>
      <c r="AO121" s="437">
        <f t="shared" si="99"/>
        <v>0</v>
      </c>
      <c r="AP121" s="348" t="b">
        <f t="shared" si="67"/>
        <v>0</v>
      </c>
      <c r="AQ121" s="348">
        <f t="shared" si="68"/>
        <v>0</v>
      </c>
      <c r="AR121" s="348">
        <f t="shared" si="69"/>
        <v>0</v>
      </c>
      <c r="AS121" s="348">
        <f t="shared" si="70"/>
        <v>0</v>
      </c>
      <c r="AT121" s="348" t="str">
        <f t="shared" si="90"/>
        <v/>
      </c>
      <c r="AU121" s="348" t="str">
        <f t="shared" si="91"/>
        <v/>
      </c>
      <c r="AV121" s="348">
        <f t="shared" si="92"/>
        <v>0</v>
      </c>
      <c r="AW121" s="348">
        <f t="shared" si="71"/>
        <v>0</v>
      </c>
      <c r="AX121" s="348">
        <f t="shared" si="72"/>
        <v>0</v>
      </c>
      <c r="AY121" s="330">
        <f t="shared" si="73"/>
        <v>0</v>
      </c>
      <c r="AZ121" s="330">
        <f t="shared" si="74"/>
        <v>0</v>
      </c>
      <c r="BA121" s="330">
        <f t="shared" si="75"/>
        <v>0</v>
      </c>
      <c r="BB121" s="330">
        <f t="shared" si="76"/>
        <v>0</v>
      </c>
      <c r="BC121" s="330">
        <f t="shared" si="77"/>
        <v>0</v>
      </c>
      <c r="BD121" s="330">
        <f t="shared" si="78"/>
        <v>0</v>
      </c>
      <c r="BE121" s="330">
        <f t="shared" si="93"/>
        <v>0</v>
      </c>
      <c r="BF121" s="330">
        <f t="shared" si="79"/>
        <v>0</v>
      </c>
      <c r="BG121" s="330">
        <f t="shared" si="80"/>
        <v>0</v>
      </c>
      <c r="BH121" s="330" t="str">
        <f t="shared" si="81"/>
        <v/>
      </c>
      <c r="BI121" s="330" t="str">
        <f t="shared" si="94"/>
        <v/>
      </c>
      <c r="BJ121" s="330" t="str">
        <f t="shared" si="95"/>
        <v/>
      </c>
      <c r="BK121" s="330" t="str">
        <f t="shared" si="82"/>
        <v/>
      </c>
      <c r="BL121" s="330" t="str">
        <f t="shared" si="83"/>
        <v/>
      </c>
      <c r="BM121" s="330" t="str">
        <f t="shared" si="96"/>
        <v/>
      </c>
      <c r="BN121" s="330" t="str">
        <f t="shared" si="100"/>
        <v/>
      </c>
      <c r="BO121" s="330">
        <f t="shared" si="84"/>
        <v>0</v>
      </c>
      <c r="BP121" s="330">
        <f t="shared" si="85"/>
        <v>0</v>
      </c>
      <c r="BQ121" s="330">
        <f t="shared" si="86"/>
        <v>0</v>
      </c>
      <c r="BR121" s="330" t="str">
        <f t="shared" si="87"/>
        <v/>
      </c>
      <c r="BS121" s="432" t="str">
        <f t="shared" si="97"/>
        <v/>
      </c>
    </row>
    <row r="122" spans="1:71">
      <c r="A122" s="592"/>
      <c r="B122" s="592"/>
      <c r="C122" s="592"/>
      <c r="D122" s="592"/>
      <c r="E122" s="592"/>
      <c r="F122" s="592"/>
      <c r="G122" s="592"/>
      <c r="H122" s="592"/>
      <c r="I122" s="592"/>
      <c r="J122" s="592"/>
      <c r="K122" s="474"/>
      <c r="Q122" s="18"/>
      <c r="R122" s="18"/>
      <c r="S122" s="323"/>
      <c r="T122" s="348"/>
      <c r="U122" s="348"/>
      <c r="V122" s="348"/>
      <c r="W122" s="348"/>
      <c r="X122" s="348"/>
      <c r="Y122" s="348"/>
      <c r="Z122" s="348"/>
      <c r="AA122" s="348"/>
      <c r="AB122" s="431"/>
      <c r="AC122" s="431"/>
      <c r="AD122" s="431"/>
      <c r="AE122" s="431"/>
      <c r="AI122" s="364">
        <v>77</v>
      </c>
      <c r="AJ122" s="330">
        <f t="shared" si="65"/>
        <v>0</v>
      </c>
      <c r="AK122" s="344" t="str">
        <f t="shared" si="66"/>
        <v>None</v>
      </c>
      <c r="AL122" s="330">
        <f t="shared" si="88"/>
        <v>0</v>
      </c>
      <c r="AM122" s="336">
        <f t="shared" si="98"/>
        <v>0</v>
      </c>
      <c r="AN122" s="330">
        <f t="shared" si="89"/>
        <v>0</v>
      </c>
      <c r="AO122" s="437">
        <f t="shared" si="99"/>
        <v>0</v>
      </c>
      <c r="AP122" s="348" t="b">
        <f t="shared" si="67"/>
        <v>0</v>
      </c>
      <c r="AQ122" s="348">
        <f t="shared" si="68"/>
        <v>0</v>
      </c>
      <c r="AR122" s="348">
        <f t="shared" si="69"/>
        <v>0</v>
      </c>
      <c r="AS122" s="348">
        <f t="shared" si="70"/>
        <v>0</v>
      </c>
      <c r="AT122" s="348" t="str">
        <f t="shared" si="90"/>
        <v/>
      </c>
      <c r="AU122" s="348" t="str">
        <f t="shared" si="91"/>
        <v/>
      </c>
      <c r="AV122" s="348">
        <f t="shared" si="92"/>
        <v>0</v>
      </c>
      <c r="AW122" s="348">
        <f t="shared" si="71"/>
        <v>0</v>
      </c>
      <c r="AX122" s="348">
        <f t="shared" si="72"/>
        <v>0</v>
      </c>
      <c r="AY122" s="330">
        <f t="shared" si="73"/>
        <v>0</v>
      </c>
      <c r="AZ122" s="330">
        <f t="shared" si="74"/>
        <v>0</v>
      </c>
      <c r="BA122" s="330">
        <f t="shared" si="75"/>
        <v>0</v>
      </c>
      <c r="BB122" s="330">
        <f t="shared" si="76"/>
        <v>0</v>
      </c>
      <c r="BC122" s="330">
        <f t="shared" si="77"/>
        <v>0</v>
      </c>
      <c r="BD122" s="330">
        <f t="shared" si="78"/>
        <v>0</v>
      </c>
      <c r="BE122" s="330">
        <f t="shared" si="93"/>
        <v>0</v>
      </c>
      <c r="BF122" s="330">
        <f t="shared" si="79"/>
        <v>0</v>
      </c>
      <c r="BG122" s="330">
        <f t="shared" si="80"/>
        <v>0</v>
      </c>
      <c r="BH122" s="330" t="str">
        <f t="shared" si="81"/>
        <v/>
      </c>
      <c r="BI122" s="330" t="str">
        <f t="shared" si="94"/>
        <v/>
      </c>
      <c r="BJ122" s="330" t="str">
        <f t="shared" si="95"/>
        <v/>
      </c>
      <c r="BK122" s="330" t="str">
        <f t="shared" si="82"/>
        <v/>
      </c>
      <c r="BL122" s="330" t="str">
        <f t="shared" si="83"/>
        <v/>
      </c>
      <c r="BM122" s="330" t="str">
        <f t="shared" si="96"/>
        <v/>
      </c>
      <c r="BN122" s="330" t="str">
        <f t="shared" si="100"/>
        <v/>
      </c>
      <c r="BO122" s="330">
        <f t="shared" si="84"/>
        <v>0</v>
      </c>
      <c r="BP122" s="330">
        <f t="shared" si="85"/>
        <v>0</v>
      </c>
      <c r="BQ122" s="330">
        <f t="shared" si="86"/>
        <v>0</v>
      </c>
      <c r="BR122" s="330" t="str">
        <f t="shared" si="87"/>
        <v/>
      </c>
      <c r="BS122" s="432" t="str">
        <f t="shared" si="97"/>
        <v/>
      </c>
    </row>
    <row r="123" spans="1:71">
      <c r="A123" s="592"/>
      <c r="B123" s="592"/>
      <c r="C123" s="592"/>
      <c r="D123" s="592"/>
      <c r="E123" s="592"/>
      <c r="F123" s="592"/>
      <c r="G123" s="592"/>
      <c r="H123" s="592"/>
      <c r="I123" s="592"/>
      <c r="J123" s="592"/>
      <c r="K123" s="474"/>
      <c r="Q123" s="18"/>
      <c r="R123" s="18"/>
      <c r="S123" s="323"/>
      <c r="T123" s="348"/>
      <c r="U123" s="348"/>
      <c r="V123" s="348"/>
      <c r="W123" s="348"/>
      <c r="X123" s="348"/>
      <c r="Y123" s="348"/>
      <c r="Z123" s="348"/>
      <c r="AA123" s="348"/>
      <c r="AB123" s="431"/>
      <c r="AC123" s="431"/>
      <c r="AD123" s="431"/>
      <c r="AE123" s="431"/>
      <c r="AI123" s="364">
        <v>78</v>
      </c>
      <c r="AJ123" s="330">
        <f t="shared" si="65"/>
        <v>0</v>
      </c>
      <c r="AK123" s="344" t="str">
        <f t="shared" si="66"/>
        <v>None</v>
      </c>
      <c r="AL123" s="330">
        <f t="shared" si="88"/>
        <v>0</v>
      </c>
      <c r="AM123" s="336">
        <f t="shared" si="98"/>
        <v>0</v>
      </c>
      <c r="AN123" s="330">
        <f t="shared" si="89"/>
        <v>0</v>
      </c>
      <c r="AO123" s="437">
        <f t="shared" si="99"/>
        <v>0</v>
      </c>
      <c r="AP123" s="348" t="b">
        <f t="shared" si="67"/>
        <v>0</v>
      </c>
      <c r="AQ123" s="348">
        <f t="shared" si="68"/>
        <v>0</v>
      </c>
      <c r="AR123" s="348">
        <f t="shared" si="69"/>
        <v>0</v>
      </c>
      <c r="AS123" s="348">
        <f t="shared" si="70"/>
        <v>0</v>
      </c>
      <c r="AT123" s="348" t="str">
        <f t="shared" si="90"/>
        <v/>
      </c>
      <c r="AU123" s="348" t="str">
        <f t="shared" si="91"/>
        <v/>
      </c>
      <c r="AV123" s="348">
        <f t="shared" si="92"/>
        <v>0</v>
      </c>
      <c r="AW123" s="348">
        <f t="shared" si="71"/>
        <v>0</v>
      </c>
      <c r="AX123" s="348">
        <f t="shared" si="72"/>
        <v>0</v>
      </c>
      <c r="AY123" s="330">
        <f t="shared" si="73"/>
        <v>0</v>
      </c>
      <c r="AZ123" s="330">
        <f t="shared" si="74"/>
        <v>0</v>
      </c>
      <c r="BA123" s="330">
        <f t="shared" si="75"/>
        <v>0</v>
      </c>
      <c r="BB123" s="330">
        <f t="shared" si="76"/>
        <v>0</v>
      </c>
      <c r="BC123" s="330">
        <f t="shared" si="77"/>
        <v>0</v>
      </c>
      <c r="BD123" s="330">
        <f t="shared" si="78"/>
        <v>0</v>
      </c>
      <c r="BE123" s="330">
        <f t="shared" si="93"/>
        <v>0</v>
      </c>
      <c r="BF123" s="330">
        <f t="shared" si="79"/>
        <v>0</v>
      </c>
      <c r="BG123" s="330">
        <f t="shared" si="80"/>
        <v>0</v>
      </c>
      <c r="BH123" s="330" t="str">
        <f t="shared" si="81"/>
        <v/>
      </c>
      <c r="BI123" s="330" t="str">
        <f t="shared" si="94"/>
        <v/>
      </c>
      <c r="BJ123" s="330" t="str">
        <f t="shared" si="95"/>
        <v/>
      </c>
      <c r="BK123" s="330" t="str">
        <f t="shared" si="82"/>
        <v/>
      </c>
      <c r="BL123" s="330" t="str">
        <f t="shared" si="83"/>
        <v/>
      </c>
      <c r="BM123" s="330" t="str">
        <f t="shared" si="96"/>
        <v/>
      </c>
      <c r="BN123" s="330" t="str">
        <f t="shared" si="100"/>
        <v/>
      </c>
      <c r="BO123" s="330">
        <f t="shared" si="84"/>
        <v>0</v>
      </c>
      <c r="BP123" s="330">
        <f t="shared" si="85"/>
        <v>0</v>
      </c>
      <c r="BQ123" s="330">
        <f t="shared" si="86"/>
        <v>0</v>
      </c>
      <c r="BR123" s="330" t="str">
        <f t="shared" si="87"/>
        <v/>
      </c>
      <c r="BS123" s="432" t="str">
        <f t="shared" si="97"/>
        <v/>
      </c>
    </row>
    <row r="124" spans="1:71">
      <c r="A124" s="592"/>
      <c r="B124" s="592"/>
      <c r="C124" s="592"/>
      <c r="D124" s="592"/>
      <c r="E124" s="592"/>
      <c r="F124" s="592"/>
      <c r="G124" s="592"/>
      <c r="H124" s="592"/>
      <c r="I124" s="592"/>
      <c r="J124" s="592"/>
      <c r="K124" s="474"/>
      <c r="Q124" s="18"/>
      <c r="R124" s="18"/>
      <c r="S124" s="323"/>
      <c r="T124" s="348"/>
      <c r="U124" s="348"/>
      <c r="V124" s="348"/>
      <c r="W124" s="348"/>
      <c r="X124" s="348"/>
      <c r="Y124" s="348"/>
      <c r="Z124" s="348"/>
      <c r="AA124" s="348"/>
      <c r="AB124" s="431"/>
      <c r="AC124" s="431"/>
      <c r="AD124" s="431"/>
      <c r="AE124" s="431"/>
      <c r="AI124" s="364">
        <v>79</v>
      </c>
      <c r="AJ124" s="330">
        <f t="shared" si="65"/>
        <v>0</v>
      </c>
      <c r="AK124" s="344" t="str">
        <f t="shared" si="66"/>
        <v>None</v>
      </c>
      <c r="AL124" s="330">
        <f t="shared" si="88"/>
        <v>0</v>
      </c>
      <c r="AM124" s="336">
        <f t="shared" si="98"/>
        <v>0</v>
      </c>
      <c r="AN124" s="330">
        <f t="shared" si="89"/>
        <v>0</v>
      </c>
      <c r="AO124" s="437">
        <f t="shared" si="99"/>
        <v>0</v>
      </c>
      <c r="AP124" s="348" t="b">
        <f t="shared" si="67"/>
        <v>0</v>
      </c>
      <c r="AQ124" s="348">
        <f t="shared" si="68"/>
        <v>0</v>
      </c>
      <c r="AR124" s="348">
        <f t="shared" si="69"/>
        <v>0</v>
      </c>
      <c r="AS124" s="348">
        <f t="shared" si="70"/>
        <v>0</v>
      </c>
      <c r="AT124" s="348" t="str">
        <f t="shared" si="90"/>
        <v/>
      </c>
      <c r="AU124" s="348" t="str">
        <f t="shared" si="91"/>
        <v/>
      </c>
      <c r="AV124" s="348">
        <f t="shared" si="92"/>
        <v>0</v>
      </c>
      <c r="AW124" s="348">
        <f t="shared" si="71"/>
        <v>0</v>
      </c>
      <c r="AX124" s="348">
        <f t="shared" si="72"/>
        <v>0</v>
      </c>
      <c r="AY124" s="330">
        <f t="shared" si="73"/>
        <v>0</v>
      </c>
      <c r="AZ124" s="330">
        <f t="shared" si="74"/>
        <v>0</v>
      </c>
      <c r="BA124" s="330">
        <f t="shared" si="75"/>
        <v>0</v>
      </c>
      <c r="BB124" s="330">
        <f t="shared" si="76"/>
        <v>0</v>
      </c>
      <c r="BC124" s="330">
        <f t="shared" si="77"/>
        <v>0</v>
      </c>
      <c r="BD124" s="330">
        <f t="shared" si="78"/>
        <v>0</v>
      </c>
      <c r="BE124" s="330">
        <f t="shared" si="93"/>
        <v>0</v>
      </c>
      <c r="BF124" s="330">
        <f t="shared" si="79"/>
        <v>0</v>
      </c>
      <c r="BG124" s="330">
        <f t="shared" si="80"/>
        <v>0</v>
      </c>
      <c r="BH124" s="330" t="str">
        <f t="shared" si="81"/>
        <v/>
      </c>
      <c r="BI124" s="330" t="str">
        <f t="shared" si="94"/>
        <v/>
      </c>
      <c r="BJ124" s="330" t="str">
        <f t="shared" si="95"/>
        <v/>
      </c>
      <c r="BK124" s="330" t="str">
        <f t="shared" si="82"/>
        <v/>
      </c>
      <c r="BL124" s="330" t="str">
        <f t="shared" si="83"/>
        <v/>
      </c>
      <c r="BM124" s="330" t="str">
        <f t="shared" si="96"/>
        <v/>
      </c>
      <c r="BN124" s="330" t="str">
        <f t="shared" si="100"/>
        <v/>
      </c>
      <c r="BO124" s="330">
        <f t="shared" si="84"/>
        <v>0</v>
      </c>
      <c r="BP124" s="330">
        <f t="shared" si="85"/>
        <v>0</v>
      </c>
      <c r="BQ124" s="330">
        <f t="shared" si="86"/>
        <v>0</v>
      </c>
      <c r="BR124" s="330" t="str">
        <f t="shared" si="87"/>
        <v/>
      </c>
      <c r="BS124" s="432" t="str">
        <f t="shared" si="97"/>
        <v/>
      </c>
    </row>
    <row r="125" spans="1:71">
      <c r="A125" s="592"/>
      <c r="B125" s="592"/>
      <c r="C125" s="592"/>
      <c r="D125" s="592"/>
      <c r="E125" s="592"/>
      <c r="F125" s="592"/>
      <c r="G125" s="592"/>
      <c r="H125" s="592"/>
      <c r="I125" s="592"/>
      <c r="J125" s="592"/>
      <c r="K125" s="474"/>
      <c r="Q125" s="18"/>
      <c r="R125" s="18"/>
      <c r="S125" s="323"/>
      <c r="T125" s="348"/>
      <c r="U125" s="348"/>
      <c r="V125" s="348"/>
      <c r="W125" s="348"/>
      <c r="X125" s="348"/>
      <c r="Y125" s="348"/>
      <c r="Z125" s="348"/>
      <c r="AA125" s="348"/>
      <c r="AB125" s="431"/>
      <c r="AC125" s="431"/>
      <c r="AD125" s="431"/>
      <c r="AE125" s="431"/>
      <c r="AI125" s="364">
        <v>80</v>
      </c>
      <c r="AJ125" s="330">
        <f t="shared" si="65"/>
        <v>0</v>
      </c>
      <c r="AK125" s="344" t="str">
        <f t="shared" si="66"/>
        <v>None</v>
      </c>
      <c r="AL125" s="330">
        <f t="shared" si="88"/>
        <v>0</v>
      </c>
      <c r="AM125" s="336">
        <f t="shared" si="98"/>
        <v>0</v>
      </c>
      <c r="AN125" s="330">
        <f t="shared" si="89"/>
        <v>0</v>
      </c>
      <c r="AO125" s="437">
        <f t="shared" si="99"/>
        <v>0</v>
      </c>
      <c r="AP125" s="348" t="b">
        <f t="shared" si="67"/>
        <v>0</v>
      </c>
      <c r="AQ125" s="348">
        <f t="shared" si="68"/>
        <v>0</v>
      </c>
      <c r="AR125" s="348">
        <f t="shared" si="69"/>
        <v>0</v>
      </c>
      <c r="AS125" s="348">
        <f t="shared" si="70"/>
        <v>0</v>
      </c>
      <c r="AT125" s="348" t="str">
        <f t="shared" si="90"/>
        <v/>
      </c>
      <c r="AU125" s="348" t="str">
        <f t="shared" si="91"/>
        <v/>
      </c>
      <c r="AV125" s="348">
        <f t="shared" si="92"/>
        <v>0</v>
      </c>
      <c r="AW125" s="348">
        <f t="shared" si="71"/>
        <v>0</v>
      </c>
      <c r="AX125" s="348">
        <f t="shared" si="72"/>
        <v>0</v>
      </c>
      <c r="AY125" s="330">
        <f t="shared" si="73"/>
        <v>0</v>
      </c>
      <c r="AZ125" s="330">
        <f t="shared" si="74"/>
        <v>0</v>
      </c>
      <c r="BA125" s="330">
        <f t="shared" si="75"/>
        <v>0</v>
      </c>
      <c r="BB125" s="330">
        <f t="shared" si="76"/>
        <v>0</v>
      </c>
      <c r="BC125" s="330">
        <f t="shared" si="77"/>
        <v>0</v>
      </c>
      <c r="BD125" s="330">
        <f t="shared" si="78"/>
        <v>0</v>
      </c>
      <c r="BE125" s="330">
        <f t="shared" si="93"/>
        <v>0</v>
      </c>
      <c r="BF125" s="330">
        <f t="shared" si="79"/>
        <v>0</v>
      </c>
      <c r="BG125" s="330">
        <f t="shared" si="80"/>
        <v>0</v>
      </c>
      <c r="BH125" s="330" t="str">
        <f t="shared" si="81"/>
        <v/>
      </c>
      <c r="BI125" s="330" t="str">
        <f t="shared" si="94"/>
        <v/>
      </c>
      <c r="BJ125" s="330" t="str">
        <f t="shared" si="95"/>
        <v/>
      </c>
      <c r="BK125" s="330" t="str">
        <f t="shared" si="82"/>
        <v/>
      </c>
      <c r="BL125" s="330" t="str">
        <f t="shared" si="83"/>
        <v/>
      </c>
      <c r="BM125" s="330" t="str">
        <f t="shared" si="96"/>
        <v/>
      </c>
      <c r="BN125" s="330" t="str">
        <f t="shared" si="100"/>
        <v/>
      </c>
      <c r="BO125" s="330">
        <f t="shared" si="84"/>
        <v>0</v>
      </c>
      <c r="BP125" s="330">
        <f t="shared" si="85"/>
        <v>0</v>
      </c>
      <c r="BQ125" s="330">
        <f t="shared" si="86"/>
        <v>0</v>
      </c>
      <c r="BR125" s="330" t="str">
        <f t="shared" si="87"/>
        <v/>
      </c>
      <c r="BS125" s="432" t="str">
        <f t="shared" si="97"/>
        <v/>
      </c>
    </row>
    <row r="126" spans="1:71">
      <c r="A126" s="592"/>
      <c r="B126" s="592"/>
      <c r="C126" s="592"/>
      <c r="D126" s="592"/>
      <c r="E126" s="592"/>
      <c r="F126" s="592"/>
      <c r="G126" s="592"/>
      <c r="H126" s="592"/>
      <c r="I126" s="592"/>
      <c r="J126" s="592"/>
      <c r="K126" s="474"/>
      <c r="Q126" s="18"/>
      <c r="R126" s="18"/>
      <c r="S126" s="323"/>
      <c r="T126" s="348"/>
      <c r="U126" s="348"/>
      <c r="V126" s="348"/>
      <c r="W126" s="348"/>
      <c r="X126" s="348"/>
      <c r="Y126" s="348"/>
      <c r="Z126" s="348"/>
      <c r="AA126" s="348"/>
      <c r="AB126" s="431"/>
      <c r="AC126" s="431"/>
      <c r="AD126" s="431"/>
      <c r="AE126" s="431"/>
      <c r="AI126" s="364">
        <v>81</v>
      </c>
      <c r="AJ126" s="330">
        <f t="shared" si="65"/>
        <v>0</v>
      </c>
      <c r="AK126" s="344" t="str">
        <f t="shared" si="66"/>
        <v>None</v>
      </c>
      <c r="AL126" s="330">
        <f t="shared" si="88"/>
        <v>0</v>
      </c>
      <c r="AM126" s="336">
        <f t="shared" si="98"/>
        <v>0</v>
      </c>
      <c r="AN126" s="330">
        <f t="shared" si="89"/>
        <v>0</v>
      </c>
      <c r="AO126" s="437">
        <f t="shared" si="99"/>
        <v>0</v>
      </c>
      <c r="AP126" s="348" t="b">
        <f t="shared" si="67"/>
        <v>0</v>
      </c>
      <c r="AQ126" s="348">
        <f t="shared" si="68"/>
        <v>0</v>
      </c>
      <c r="AR126" s="348">
        <f t="shared" si="69"/>
        <v>0</v>
      </c>
      <c r="AS126" s="348">
        <f t="shared" si="70"/>
        <v>0</v>
      </c>
      <c r="AT126" s="348" t="str">
        <f t="shared" si="90"/>
        <v/>
      </c>
      <c r="AU126" s="348" t="str">
        <f t="shared" si="91"/>
        <v/>
      </c>
      <c r="AV126" s="348">
        <f t="shared" si="92"/>
        <v>0</v>
      </c>
      <c r="AW126" s="348">
        <f t="shared" si="71"/>
        <v>0</v>
      </c>
      <c r="AX126" s="348">
        <f t="shared" si="72"/>
        <v>0</v>
      </c>
      <c r="AY126" s="330">
        <f t="shared" si="73"/>
        <v>0</v>
      </c>
      <c r="AZ126" s="330">
        <f t="shared" si="74"/>
        <v>0</v>
      </c>
      <c r="BA126" s="330">
        <f t="shared" si="75"/>
        <v>0</v>
      </c>
      <c r="BB126" s="330">
        <f t="shared" si="76"/>
        <v>0</v>
      </c>
      <c r="BC126" s="330">
        <f t="shared" si="77"/>
        <v>0</v>
      </c>
      <c r="BD126" s="330">
        <f t="shared" si="78"/>
        <v>0</v>
      </c>
      <c r="BE126" s="330">
        <f t="shared" si="93"/>
        <v>0</v>
      </c>
      <c r="BF126" s="330">
        <f t="shared" si="79"/>
        <v>0</v>
      </c>
      <c r="BG126" s="330">
        <f t="shared" si="80"/>
        <v>0</v>
      </c>
      <c r="BH126" s="330" t="str">
        <f t="shared" si="81"/>
        <v/>
      </c>
      <c r="BI126" s="330" t="str">
        <f t="shared" si="94"/>
        <v/>
      </c>
      <c r="BJ126" s="330" t="str">
        <f t="shared" si="95"/>
        <v/>
      </c>
      <c r="BK126" s="330" t="str">
        <f t="shared" si="82"/>
        <v/>
      </c>
      <c r="BL126" s="330" t="str">
        <f t="shared" si="83"/>
        <v/>
      </c>
      <c r="BM126" s="330" t="str">
        <f t="shared" si="96"/>
        <v/>
      </c>
      <c r="BN126" s="330" t="str">
        <f t="shared" si="100"/>
        <v/>
      </c>
      <c r="BO126" s="330">
        <f t="shared" si="84"/>
        <v>0</v>
      </c>
      <c r="BP126" s="330">
        <f t="shared" si="85"/>
        <v>0</v>
      </c>
      <c r="BQ126" s="330">
        <f t="shared" si="86"/>
        <v>0</v>
      </c>
      <c r="BR126" s="330" t="str">
        <f t="shared" si="87"/>
        <v/>
      </c>
      <c r="BS126" s="432" t="str">
        <f t="shared" si="97"/>
        <v/>
      </c>
    </row>
    <row r="127" spans="1:71">
      <c r="A127" s="592"/>
      <c r="B127" s="592"/>
      <c r="C127" s="592"/>
      <c r="D127" s="592"/>
      <c r="E127" s="592"/>
      <c r="F127" s="592"/>
      <c r="G127" s="592"/>
      <c r="H127" s="592"/>
      <c r="I127" s="592"/>
      <c r="J127" s="592"/>
      <c r="Q127" s="18"/>
      <c r="R127" s="18"/>
      <c r="S127" s="323"/>
      <c r="T127" s="348"/>
      <c r="U127" s="348"/>
      <c r="V127" s="348"/>
      <c r="W127" s="348"/>
      <c r="X127" s="348"/>
      <c r="Y127" s="348"/>
      <c r="Z127" s="348"/>
      <c r="AA127" s="348"/>
      <c r="AB127" s="431"/>
      <c r="AC127" s="431"/>
      <c r="AD127" s="431"/>
      <c r="AE127" s="431"/>
      <c r="AI127" s="364">
        <v>82</v>
      </c>
      <c r="AJ127" s="330">
        <f t="shared" si="65"/>
        <v>0</v>
      </c>
      <c r="AK127" s="344" t="str">
        <f t="shared" si="66"/>
        <v>None</v>
      </c>
      <c r="AL127" s="330">
        <f t="shared" si="88"/>
        <v>0</v>
      </c>
      <c r="AM127" s="336">
        <f t="shared" si="98"/>
        <v>0</v>
      </c>
      <c r="AN127" s="330">
        <f t="shared" si="89"/>
        <v>0</v>
      </c>
      <c r="AO127" s="437">
        <f t="shared" si="99"/>
        <v>0</v>
      </c>
      <c r="AP127" s="348" t="b">
        <f t="shared" si="67"/>
        <v>0</v>
      </c>
      <c r="AQ127" s="348">
        <f t="shared" si="68"/>
        <v>0</v>
      </c>
      <c r="AR127" s="348">
        <f t="shared" si="69"/>
        <v>0</v>
      </c>
      <c r="AS127" s="348">
        <f t="shared" si="70"/>
        <v>0</v>
      </c>
      <c r="AT127" s="348" t="str">
        <f t="shared" si="90"/>
        <v/>
      </c>
      <c r="AU127" s="348" t="str">
        <f t="shared" si="91"/>
        <v/>
      </c>
      <c r="AV127" s="348">
        <f t="shared" si="92"/>
        <v>0</v>
      </c>
      <c r="AW127" s="348">
        <f t="shared" si="71"/>
        <v>0</v>
      </c>
      <c r="AX127" s="348">
        <f t="shared" si="72"/>
        <v>0</v>
      </c>
      <c r="AY127" s="330">
        <f t="shared" si="73"/>
        <v>0</v>
      </c>
      <c r="AZ127" s="330">
        <f t="shared" si="74"/>
        <v>0</v>
      </c>
      <c r="BA127" s="330">
        <f t="shared" si="75"/>
        <v>0</v>
      </c>
      <c r="BB127" s="330">
        <f t="shared" si="76"/>
        <v>0</v>
      </c>
      <c r="BC127" s="330">
        <f t="shared" si="77"/>
        <v>0</v>
      </c>
      <c r="BD127" s="330">
        <f t="shared" si="78"/>
        <v>0</v>
      </c>
      <c r="BE127" s="330">
        <f t="shared" si="93"/>
        <v>0</v>
      </c>
      <c r="BF127" s="330">
        <f t="shared" si="79"/>
        <v>0</v>
      </c>
      <c r="BG127" s="330">
        <f t="shared" si="80"/>
        <v>0</v>
      </c>
      <c r="BH127" s="330" t="str">
        <f t="shared" si="81"/>
        <v/>
      </c>
      <c r="BI127" s="330" t="str">
        <f t="shared" si="94"/>
        <v/>
      </c>
      <c r="BJ127" s="330" t="str">
        <f t="shared" si="95"/>
        <v/>
      </c>
      <c r="BK127" s="330" t="str">
        <f t="shared" si="82"/>
        <v/>
      </c>
      <c r="BL127" s="330" t="str">
        <f t="shared" si="83"/>
        <v/>
      </c>
      <c r="BM127" s="330" t="str">
        <f t="shared" si="96"/>
        <v/>
      </c>
      <c r="BN127" s="330" t="str">
        <f t="shared" si="100"/>
        <v/>
      </c>
      <c r="BO127" s="330">
        <f t="shared" si="84"/>
        <v>0</v>
      </c>
      <c r="BP127" s="330">
        <f t="shared" si="85"/>
        <v>0</v>
      </c>
      <c r="BQ127" s="330">
        <f t="shared" si="86"/>
        <v>0</v>
      </c>
      <c r="BR127" s="330" t="str">
        <f t="shared" si="87"/>
        <v/>
      </c>
      <c r="BS127" s="432" t="str">
        <f t="shared" si="97"/>
        <v/>
      </c>
    </row>
    <row r="128" spans="1:71">
      <c r="A128" s="592"/>
      <c r="B128" s="592"/>
      <c r="C128" s="592"/>
      <c r="D128" s="592"/>
      <c r="E128" s="592"/>
      <c r="F128" s="592"/>
      <c r="G128" s="592"/>
      <c r="H128" s="592"/>
      <c r="I128" s="592"/>
      <c r="J128" s="592"/>
      <c r="Q128" s="18"/>
      <c r="R128" s="18"/>
      <c r="S128" s="431"/>
      <c r="T128" s="431"/>
      <c r="U128" s="431"/>
      <c r="V128" s="431"/>
      <c r="W128" s="431"/>
      <c r="X128" s="431"/>
      <c r="Y128" s="431"/>
      <c r="Z128" s="318"/>
      <c r="AA128" s="348"/>
      <c r="AB128" s="431"/>
      <c r="AC128" s="431"/>
      <c r="AD128" s="431"/>
      <c r="AE128" s="431"/>
      <c r="AI128" s="364">
        <v>83</v>
      </c>
      <c r="AJ128" s="330">
        <f t="shared" si="65"/>
        <v>0</v>
      </c>
      <c r="AK128" s="344" t="str">
        <f t="shared" si="66"/>
        <v>None</v>
      </c>
      <c r="AL128" s="330">
        <f t="shared" si="88"/>
        <v>0</v>
      </c>
      <c r="AM128" s="336">
        <f t="shared" si="98"/>
        <v>0</v>
      </c>
      <c r="AN128" s="330">
        <f t="shared" si="89"/>
        <v>0</v>
      </c>
      <c r="AO128" s="437">
        <f t="shared" si="99"/>
        <v>0</v>
      </c>
      <c r="AP128" s="348" t="b">
        <f t="shared" si="67"/>
        <v>0</v>
      </c>
      <c r="AQ128" s="348">
        <f t="shared" si="68"/>
        <v>0</v>
      </c>
      <c r="AR128" s="348">
        <f t="shared" si="69"/>
        <v>0</v>
      </c>
      <c r="AS128" s="348">
        <f t="shared" si="70"/>
        <v>0</v>
      </c>
      <c r="AT128" s="348" t="str">
        <f t="shared" si="90"/>
        <v/>
      </c>
      <c r="AU128" s="348" t="str">
        <f t="shared" si="91"/>
        <v/>
      </c>
      <c r="AV128" s="348">
        <f t="shared" si="92"/>
        <v>0</v>
      </c>
      <c r="AW128" s="348">
        <f t="shared" si="71"/>
        <v>0</v>
      </c>
      <c r="AX128" s="348">
        <f t="shared" si="72"/>
        <v>0</v>
      </c>
      <c r="AY128" s="330">
        <f t="shared" si="73"/>
        <v>0</v>
      </c>
      <c r="AZ128" s="330">
        <f t="shared" si="74"/>
        <v>0</v>
      </c>
      <c r="BA128" s="330">
        <f t="shared" si="75"/>
        <v>0</v>
      </c>
      <c r="BB128" s="330">
        <f t="shared" si="76"/>
        <v>0</v>
      </c>
      <c r="BC128" s="330">
        <f t="shared" si="77"/>
        <v>0</v>
      </c>
      <c r="BD128" s="330">
        <f t="shared" si="78"/>
        <v>0</v>
      </c>
      <c r="BE128" s="330">
        <f t="shared" si="93"/>
        <v>0</v>
      </c>
      <c r="BF128" s="330">
        <f t="shared" si="79"/>
        <v>0</v>
      </c>
      <c r="BG128" s="330">
        <f t="shared" si="80"/>
        <v>0</v>
      </c>
      <c r="BH128" s="330" t="str">
        <f t="shared" si="81"/>
        <v/>
      </c>
      <c r="BI128" s="330" t="str">
        <f t="shared" si="94"/>
        <v/>
      </c>
      <c r="BJ128" s="330" t="str">
        <f t="shared" si="95"/>
        <v/>
      </c>
      <c r="BK128" s="330" t="str">
        <f t="shared" si="82"/>
        <v/>
      </c>
      <c r="BL128" s="330" t="str">
        <f t="shared" si="83"/>
        <v/>
      </c>
      <c r="BM128" s="330" t="str">
        <f t="shared" si="96"/>
        <v/>
      </c>
      <c r="BN128" s="330" t="str">
        <f t="shared" si="100"/>
        <v/>
      </c>
      <c r="BO128" s="330">
        <f t="shared" si="84"/>
        <v>0</v>
      </c>
      <c r="BP128" s="330">
        <f t="shared" si="85"/>
        <v>0</v>
      </c>
      <c r="BQ128" s="330">
        <f t="shared" si="86"/>
        <v>0</v>
      </c>
      <c r="BR128" s="330" t="str">
        <f t="shared" si="87"/>
        <v/>
      </c>
      <c r="BS128" s="432" t="str">
        <f t="shared" si="97"/>
        <v/>
      </c>
    </row>
    <row r="129" spans="1:71">
      <c r="A129" s="592"/>
      <c r="B129" s="592"/>
      <c r="C129" s="592"/>
      <c r="D129" s="592"/>
      <c r="E129" s="592"/>
      <c r="F129" s="592"/>
      <c r="G129" s="592"/>
      <c r="H129" s="592"/>
      <c r="I129" s="592"/>
      <c r="J129" s="592"/>
      <c r="Q129" s="18"/>
      <c r="R129" s="18"/>
      <c r="S129" s="18"/>
      <c r="T129" s="18"/>
      <c r="U129" s="18"/>
      <c r="V129" s="18"/>
      <c r="W129" s="18"/>
      <c r="X129" s="18"/>
      <c r="Y129" s="18"/>
      <c r="Z129" s="18"/>
      <c r="AA129" s="18"/>
      <c r="AB129" s="18"/>
      <c r="AC129" s="18"/>
      <c r="AD129" s="18"/>
      <c r="AE129" s="18"/>
      <c r="AI129" s="364">
        <v>84</v>
      </c>
      <c r="AJ129" s="330">
        <f t="shared" si="65"/>
        <v>0</v>
      </c>
      <c r="AK129" s="344" t="str">
        <f t="shared" si="66"/>
        <v>None</v>
      </c>
      <c r="AL129" s="330">
        <f t="shared" si="88"/>
        <v>0</v>
      </c>
      <c r="AM129" s="336">
        <f t="shared" si="98"/>
        <v>0</v>
      </c>
      <c r="AN129" s="330">
        <f t="shared" si="89"/>
        <v>0</v>
      </c>
      <c r="AO129" s="437">
        <f t="shared" si="99"/>
        <v>0</v>
      </c>
      <c r="AP129" s="348" t="b">
        <f t="shared" si="67"/>
        <v>0</v>
      </c>
      <c r="AQ129" s="348">
        <f t="shared" si="68"/>
        <v>0</v>
      </c>
      <c r="AR129" s="348">
        <f t="shared" si="69"/>
        <v>0</v>
      </c>
      <c r="AS129" s="348">
        <f t="shared" si="70"/>
        <v>0</v>
      </c>
      <c r="AT129" s="348" t="str">
        <f t="shared" si="90"/>
        <v/>
      </c>
      <c r="AU129" s="348" t="str">
        <f t="shared" si="91"/>
        <v/>
      </c>
      <c r="AV129" s="348">
        <f t="shared" si="92"/>
        <v>0</v>
      </c>
      <c r="AW129" s="348">
        <f t="shared" si="71"/>
        <v>0</v>
      </c>
      <c r="AX129" s="348">
        <f t="shared" si="72"/>
        <v>0</v>
      </c>
      <c r="AY129" s="330">
        <f t="shared" si="73"/>
        <v>0</v>
      </c>
      <c r="AZ129" s="330">
        <f t="shared" si="74"/>
        <v>0</v>
      </c>
      <c r="BA129" s="330">
        <f t="shared" si="75"/>
        <v>0</v>
      </c>
      <c r="BB129" s="330">
        <f t="shared" si="76"/>
        <v>0</v>
      </c>
      <c r="BC129" s="330">
        <f t="shared" si="77"/>
        <v>0</v>
      </c>
      <c r="BD129" s="330">
        <f t="shared" si="78"/>
        <v>0</v>
      </c>
      <c r="BE129" s="330">
        <f t="shared" si="93"/>
        <v>0</v>
      </c>
      <c r="BF129" s="330">
        <f t="shared" si="79"/>
        <v>0</v>
      </c>
      <c r="BG129" s="330">
        <f t="shared" si="80"/>
        <v>0</v>
      </c>
      <c r="BH129" s="330" t="str">
        <f t="shared" si="81"/>
        <v/>
      </c>
      <c r="BI129" s="330" t="str">
        <f t="shared" si="94"/>
        <v/>
      </c>
      <c r="BJ129" s="330" t="str">
        <f t="shared" si="95"/>
        <v/>
      </c>
      <c r="BK129" s="330" t="str">
        <f t="shared" si="82"/>
        <v/>
      </c>
      <c r="BL129" s="330" t="str">
        <f t="shared" si="83"/>
        <v/>
      </c>
      <c r="BM129" s="330" t="str">
        <f t="shared" si="96"/>
        <v/>
      </c>
      <c r="BN129" s="330" t="str">
        <f t="shared" si="100"/>
        <v/>
      </c>
      <c r="BO129" s="330">
        <f t="shared" si="84"/>
        <v>0</v>
      </c>
      <c r="BP129" s="330">
        <f t="shared" si="85"/>
        <v>0</v>
      </c>
      <c r="BQ129" s="330">
        <f t="shared" si="86"/>
        <v>0</v>
      </c>
      <c r="BR129" s="330" t="str">
        <f t="shared" si="87"/>
        <v/>
      </c>
      <c r="BS129" s="432" t="str">
        <f t="shared" si="97"/>
        <v/>
      </c>
    </row>
    <row r="130" spans="1:71">
      <c r="A130" s="592"/>
      <c r="B130" s="592"/>
      <c r="C130" s="592"/>
      <c r="D130" s="592"/>
      <c r="E130" s="592"/>
      <c r="F130" s="592"/>
      <c r="G130" s="592"/>
      <c r="H130" s="592"/>
      <c r="I130" s="592"/>
      <c r="J130" s="592"/>
      <c r="Q130" s="18"/>
      <c r="R130" s="18"/>
      <c r="S130" s="18"/>
      <c r="T130" s="18"/>
      <c r="U130" s="18"/>
      <c r="V130" s="18"/>
      <c r="W130" s="18"/>
      <c r="X130" s="18"/>
      <c r="Y130" s="18"/>
      <c r="Z130" s="18"/>
      <c r="AA130" s="18"/>
      <c r="AB130" s="18"/>
      <c r="AC130" s="18"/>
      <c r="AD130" s="18"/>
      <c r="AE130" s="18"/>
      <c r="AI130" s="364">
        <v>85</v>
      </c>
      <c r="AJ130" s="330">
        <f t="shared" si="65"/>
        <v>0</v>
      </c>
      <c r="AK130" s="344" t="str">
        <f t="shared" si="66"/>
        <v>None</v>
      </c>
      <c r="AL130" s="330">
        <f t="shared" si="88"/>
        <v>0</v>
      </c>
      <c r="AM130" s="336">
        <f t="shared" si="98"/>
        <v>0</v>
      </c>
      <c r="AN130" s="330">
        <f t="shared" si="89"/>
        <v>0</v>
      </c>
      <c r="AO130" s="437">
        <f t="shared" si="99"/>
        <v>0</v>
      </c>
      <c r="AP130" s="348" t="b">
        <f t="shared" si="67"/>
        <v>0</v>
      </c>
      <c r="AQ130" s="348">
        <f t="shared" si="68"/>
        <v>0</v>
      </c>
      <c r="AR130" s="348">
        <f t="shared" si="69"/>
        <v>0</v>
      </c>
      <c r="AS130" s="348">
        <f t="shared" si="70"/>
        <v>0</v>
      </c>
      <c r="AT130" s="348" t="str">
        <f t="shared" si="90"/>
        <v/>
      </c>
      <c r="AU130" s="348" t="str">
        <f t="shared" si="91"/>
        <v/>
      </c>
      <c r="AV130" s="348">
        <f t="shared" si="92"/>
        <v>0</v>
      </c>
      <c r="AW130" s="348">
        <f t="shared" si="71"/>
        <v>0</v>
      </c>
      <c r="AX130" s="348">
        <f t="shared" si="72"/>
        <v>0</v>
      </c>
      <c r="AY130" s="330">
        <f t="shared" si="73"/>
        <v>0</v>
      </c>
      <c r="AZ130" s="330">
        <f t="shared" si="74"/>
        <v>0</v>
      </c>
      <c r="BA130" s="330">
        <f t="shared" si="75"/>
        <v>0</v>
      </c>
      <c r="BB130" s="330">
        <f t="shared" si="76"/>
        <v>0</v>
      </c>
      <c r="BC130" s="330">
        <f t="shared" si="77"/>
        <v>0</v>
      </c>
      <c r="BD130" s="330">
        <f t="shared" si="78"/>
        <v>0</v>
      </c>
      <c r="BE130" s="330">
        <f t="shared" si="93"/>
        <v>0</v>
      </c>
      <c r="BF130" s="330">
        <f t="shared" si="79"/>
        <v>0</v>
      </c>
      <c r="BG130" s="330">
        <f t="shared" si="80"/>
        <v>0</v>
      </c>
      <c r="BH130" s="330" t="str">
        <f t="shared" si="81"/>
        <v/>
      </c>
      <c r="BI130" s="330" t="str">
        <f t="shared" si="94"/>
        <v/>
      </c>
      <c r="BJ130" s="330" t="str">
        <f t="shared" si="95"/>
        <v/>
      </c>
      <c r="BK130" s="330" t="str">
        <f t="shared" si="82"/>
        <v/>
      </c>
      <c r="BL130" s="330" t="str">
        <f t="shared" si="83"/>
        <v/>
      </c>
      <c r="BM130" s="330" t="str">
        <f t="shared" si="96"/>
        <v/>
      </c>
      <c r="BN130" s="330" t="str">
        <f t="shared" si="100"/>
        <v/>
      </c>
      <c r="BO130" s="330">
        <f t="shared" si="84"/>
        <v>0</v>
      </c>
      <c r="BP130" s="330">
        <f t="shared" si="85"/>
        <v>0</v>
      </c>
      <c r="BQ130" s="330">
        <f t="shared" si="86"/>
        <v>0</v>
      </c>
      <c r="BR130" s="330" t="str">
        <f t="shared" si="87"/>
        <v/>
      </c>
      <c r="BS130" s="432" t="str">
        <f t="shared" si="97"/>
        <v/>
      </c>
    </row>
    <row r="131" spans="1:71">
      <c r="A131" s="592"/>
      <c r="B131" s="592"/>
      <c r="C131" s="592"/>
      <c r="D131" s="592"/>
      <c r="E131" s="592"/>
      <c r="F131" s="592"/>
      <c r="G131" s="592"/>
      <c r="H131" s="592"/>
      <c r="I131" s="592"/>
      <c r="J131" s="592"/>
      <c r="Q131" s="18"/>
      <c r="R131" s="18"/>
      <c r="S131" s="18"/>
      <c r="T131" s="18"/>
      <c r="U131" s="18"/>
      <c r="V131" s="18"/>
      <c r="W131" s="18"/>
      <c r="X131" s="18"/>
      <c r="Y131" s="18"/>
      <c r="Z131" s="18"/>
      <c r="AA131" s="18"/>
      <c r="AB131" s="18"/>
      <c r="AC131" s="18"/>
      <c r="AD131" s="18"/>
      <c r="AE131" s="18"/>
      <c r="AI131" s="364">
        <v>86</v>
      </c>
      <c r="AJ131" s="330">
        <f t="shared" si="65"/>
        <v>0</v>
      </c>
      <c r="AK131" s="344" t="str">
        <f t="shared" si="66"/>
        <v>None</v>
      </c>
      <c r="AL131" s="330">
        <f t="shared" si="88"/>
        <v>0</v>
      </c>
      <c r="AM131" s="336">
        <f t="shared" si="98"/>
        <v>0</v>
      </c>
      <c r="AN131" s="330">
        <f t="shared" si="89"/>
        <v>0</v>
      </c>
      <c r="AO131" s="437">
        <f t="shared" si="99"/>
        <v>0</v>
      </c>
      <c r="AP131" s="348" t="b">
        <f t="shared" si="67"/>
        <v>0</v>
      </c>
      <c r="AQ131" s="348">
        <f t="shared" si="68"/>
        <v>0</v>
      </c>
      <c r="AR131" s="348">
        <f t="shared" si="69"/>
        <v>0</v>
      </c>
      <c r="AS131" s="348">
        <f t="shared" si="70"/>
        <v>0</v>
      </c>
      <c r="AT131" s="348" t="str">
        <f t="shared" si="90"/>
        <v/>
      </c>
      <c r="AU131" s="348" t="str">
        <f t="shared" si="91"/>
        <v/>
      </c>
      <c r="AV131" s="348">
        <f t="shared" si="92"/>
        <v>0</v>
      </c>
      <c r="AW131" s="348">
        <f t="shared" si="71"/>
        <v>0</v>
      </c>
      <c r="AX131" s="348">
        <f t="shared" si="72"/>
        <v>0</v>
      </c>
      <c r="AY131" s="330">
        <f t="shared" si="73"/>
        <v>0</v>
      </c>
      <c r="AZ131" s="330">
        <f t="shared" si="74"/>
        <v>0</v>
      </c>
      <c r="BA131" s="330">
        <f t="shared" si="75"/>
        <v>0</v>
      </c>
      <c r="BB131" s="330">
        <f t="shared" si="76"/>
        <v>0</v>
      </c>
      <c r="BC131" s="330">
        <f t="shared" si="77"/>
        <v>0</v>
      </c>
      <c r="BD131" s="330">
        <f t="shared" si="78"/>
        <v>0</v>
      </c>
      <c r="BE131" s="330">
        <f t="shared" si="93"/>
        <v>0</v>
      </c>
      <c r="BF131" s="330">
        <f t="shared" si="79"/>
        <v>0</v>
      </c>
      <c r="BG131" s="330">
        <f t="shared" si="80"/>
        <v>0</v>
      </c>
      <c r="BH131" s="330" t="str">
        <f t="shared" si="81"/>
        <v/>
      </c>
      <c r="BI131" s="330" t="str">
        <f t="shared" si="94"/>
        <v/>
      </c>
      <c r="BJ131" s="330" t="str">
        <f t="shared" si="95"/>
        <v/>
      </c>
      <c r="BK131" s="330" t="str">
        <f t="shared" si="82"/>
        <v/>
      </c>
      <c r="BL131" s="330" t="str">
        <f t="shared" si="83"/>
        <v/>
      </c>
      <c r="BM131" s="330" t="str">
        <f t="shared" si="96"/>
        <v/>
      </c>
      <c r="BN131" s="330" t="str">
        <f t="shared" si="100"/>
        <v/>
      </c>
      <c r="BO131" s="330">
        <f t="shared" si="84"/>
        <v>0</v>
      </c>
      <c r="BP131" s="330">
        <f t="shared" si="85"/>
        <v>0</v>
      </c>
      <c r="BQ131" s="330">
        <f t="shared" si="86"/>
        <v>0</v>
      </c>
      <c r="BR131" s="330" t="str">
        <f t="shared" si="87"/>
        <v/>
      </c>
      <c r="BS131" s="432" t="str">
        <f t="shared" si="97"/>
        <v/>
      </c>
    </row>
    <row r="132" spans="1:71">
      <c r="A132" s="592"/>
      <c r="B132" s="592"/>
      <c r="C132" s="592"/>
      <c r="D132" s="592"/>
      <c r="E132" s="592"/>
      <c r="F132" s="592"/>
      <c r="G132" s="592"/>
      <c r="H132" s="592"/>
      <c r="I132" s="592"/>
      <c r="J132" s="592"/>
      <c r="Q132" s="18"/>
      <c r="R132" s="18"/>
      <c r="S132" s="18"/>
      <c r="T132" s="18"/>
      <c r="U132" s="18"/>
      <c r="V132" s="18"/>
      <c r="W132" s="18"/>
      <c r="X132" s="18"/>
      <c r="Y132" s="18"/>
      <c r="Z132" s="18"/>
      <c r="AA132" s="18"/>
      <c r="AB132" s="18"/>
      <c r="AC132" s="18"/>
      <c r="AD132" s="18"/>
      <c r="AE132" s="18"/>
      <c r="AI132" s="364">
        <v>87</v>
      </c>
      <c r="AJ132" s="330">
        <f t="shared" si="65"/>
        <v>0</v>
      </c>
      <c r="AK132" s="344" t="str">
        <f t="shared" si="66"/>
        <v>None</v>
      </c>
      <c r="AL132" s="330">
        <f t="shared" si="88"/>
        <v>0</v>
      </c>
      <c r="AM132" s="336">
        <f t="shared" si="98"/>
        <v>0</v>
      </c>
      <c r="AN132" s="330">
        <f t="shared" si="89"/>
        <v>0</v>
      </c>
      <c r="AO132" s="437">
        <f t="shared" si="99"/>
        <v>0</v>
      </c>
      <c r="AP132" s="348" t="b">
        <f t="shared" si="67"/>
        <v>0</v>
      </c>
      <c r="AQ132" s="348">
        <f t="shared" si="68"/>
        <v>0</v>
      </c>
      <c r="AR132" s="348">
        <f t="shared" si="69"/>
        <v>0</v>
      </c>
      <c r="AS132" s="348">
        <f t="shared" si="70"/>
        <v>0</v>
      </c>
      <c r="AT132" s="348" t="str">
        <f t="shared" si="90"/>
        <v/>
      </c>
      <c r="AU132" s="348" t="str">
        <f t="shared" si="91"/>
        <v/>
      </c>
      <c r="AV132" s="348">
        <f t="shared" si="92"/>
        <v>0</v>
      </c>
      <c r="AW132" s="348">
        <f t="shared" si="71"/>
        <v>0</v>
      </c>
      <c r="AX132" s="348">
        <f t="shared" si="72"/>
        <v>0</v>
      </c>
      <c r="AY132" s="330">
        <f t="shared" si="73"/>
        <v>0</v>
      </c>
      <c r="AZ132" s="330">
        <f t="shared" si="74"/>
        <v>0</v>
      </c>
      <c r="BA132" s="330">
        <f t="shared" si="75"/>
        <v>0</v>
      </c>
      <c r="BB132" s="330">
        <f t="shared" si="76"/>
        <v>0</v>
      </c>
      <c r="BC132" s="330">
        <f t="shared" si="77"/>
        <v>0</v>
      </c>
      <c r="BD132" s="330">
        <f t="shared" si="78"/>
        <v>0</v>
      </c>
      <c r="BE132" s="330">
        <f t="shared" si="93"/>
        <v>0</v>
      </c>
      <c r="BF132" s="330">
        <f t="shared" si="79"/>
        <v>0</v>
      </c>
      <c r="BG132" s="330">
        <f t="shared" si="80"/>
        <v>0</v>
      </c>
      <c r="BH132" s="330" t="str">
        <f t="shared" si="81"/>
        <v/>
      </c>
      <c r="BI132" s="330" t="str">
        <f t="shared" si="94"/>
        <v/>
      </c>
      <c r="BJ132" s="330" t="str">
        <f t="shared" si="95"/>
        <v/>
      </c>
      <c r="BK132" s="330" t="str">
        <f t="shared" si="82"/>
        <v/>
      </c>
      <c r="BL132" s="330" t="str">
        <f t="shared" si="83"/>
        <v/>
      </c>
      <c r="BM132" s="330" t="str">
        <f t="shared" si="96"/>
        <v/>
      </c>
      <c r="BN132" s="330" t="str">
        <f t="shared" si="100"/>
        <v/>
      </c>
      <c r="BO132" s="330">
        <f t="shared" si="84"/>
        <v>0</v>
      </c>
      <c r="BP132" s="330">
        <f t="shared" si="85"/>
        <v>0</v>
      </c>
      <c r="BQ132" s="330">
        <f t="shared" si="86"/>
        <v>0</v>
      </c>
      <c r="BR132" s="330" t="str">
        <f t="shared" si="87"/>
        <v/>
      </c>
      <c r="BS132" s="432" t="str">
        <f t="shared" si="97"/>
        <v/>
      </c>
    </row>
    <row r="133" spans="1:71">
      <c r="A133" s="592"/>
      <c r="B133" s="592"/>
      <c r="C133" s="592"/>
      <c r="D133" s="592"/>
      <c r="E133" s="592"/>
      <c r="F133" s="592"/>
      <c r="G133" s="592"/>
      <c r="H133" s="592"/>
      <c r="I133" s="592"/>
      <c r="J133" s="592"/>
      <c r="Q133" s="18"/>
      <c r="R133" s="18"/>
      <c r="S133" s="18"/>
      <c r="T133" s="18"/>
      <c r="U133" s="18"/>
      <c r="V133" s="18"/>
      <c r="W133" s="18"/>
      <c r="X133" s="18"/>
      <c r="Y133" s="18"/>
      <c r="Z133" s="18"/>
      <c r="AA133" s="18"/>
      <c r="AB133" s="18"/>
      <c r="AC133" s="18"/>
      <c r="AD133" s="18"/>
      <c r="AE133" s="18"/>
      <c r="AI133" s="364">
        <v>88</v>
      </c>
      <c r="AJ133" s="330">
        <f t="shared" si="65"/>
        <v>0</v>
      </c>
      <c r="AK133" s="344" t="str">
        <f t="shared" si="66"/>
        <v>None</v>
      </c>
      <c r="AL133" s="330">
        <f t="shared" si="88"/>
        <v>0</v>
      </c>
      <c r="AM133" s="336">
        <f t="shared" si="98"/>
        <v>0</v>
      </c>
      <c r="AN133" s="330">
        <f t="shared" si="89"/>
        <v>0</v>
      </c>
      <c r="AO133" s="437">
        <f t="shared" si="99"/>
        <v>0</v>
      </c>
      <c r="AP133" s="348" t="b">
        <f t="shared" si="67"/>
        <v>0</v>
      </c>
      <c r="AQ133" s="348">
        <f t="shared" si="68"/>
        <v>0</v>
      </c>
      <c r="AR133" s="348">
        <f t="shared" si="69"/>
        <v>0</v>
      </c>
      <c r="AS133" s="348">
        <f t="shared" si="70"/>
        <v>0</v>
      </c>
      <c r="AT133" s="348" t="str">
        <f t="shared" si="90"/>
        <v/>
      </c>
      <c r="AU133" s="348" t="str">
        <f t="shared" si="91"/>
        <v/>
      </c>
      <c r="AV133" s="348">
        <f t="shared" si="92"/>
        <v>0</v>
      </c>
      <c r="AW133" s="348">
        <f t="shared" si="71"/>
        <v>0</v>
      </c>
      <c r="AX133" s="348">
        <f t="shared" si="72"/>
        <v>0</v>
      </c>
      <c r="AY133" s="330">
        <f t="shared" si="73"/>
        <v>0</v>
      </c>
      <c r="AZ133" s="330">
        <f t="shared" si="74"/>
        <v>0</v>
      </c>
      <c r="BA133" s="330">
        <f t="shared" si="75"/>
        <v>0</v>
      </c>
      <c r="BB133" s="330">
        <f t="shared" si="76"/>
        <v>0</v>
      </c>
      <c r="BC133" s="330">
        <f t="shared" si="77"/>
        <v>0</v>
      </c>
      <c r="BD133" s="330">
        <f t="shared" si="78"/>
        <v>0</v>
      </c>
      <c r="BE133" s="330">
        <f t="shared" si="93"/>
        <v>0</v>
      </c>
      <c r="BF133" s="330">
        <f t="shared" si="79"/>
        <v>0</v>
      </c>
      <c r="BG133" s="330">
        <f t="shared" si="80"/>
        <v>0</v>
      </c>
      <c r="BH133" s="330" t="str">
        <f t="shared" si="81"/>
        <v/>
      </c>
      <c r="BI133" s="330" t="str">
        <f t="shared" si="94"/>
        <v/>
      </c>
      <c r="BJ133" s="330" t="str">
        <f t="shared" si="95"/>
        <v/>
      </c>
      <c r="BK133" s="330" t="str">
        <f t="shared" si="82"/>
        <v/>
      </c>
      <c r="BL133" s="330" t="str">
        <f t="shared" si="83"/>
        <v/>
      </c>
      <c r="BM133" s="330" t="str">
        <f t="shared" si="96"/>
        <v/>
      </c>
      <c r="BN133" s="330" t="str">
        <f t="shared" si="100"/>
        <v/>
      </c>
      <c r="BO133" s="330">
        <f t="shared" si="84"/>
        <v>0</v>
      </c>
      <c r="BP133" s="330">
        <f t="shared" si="85"/>
        <v>0</v>
      </c>
      <c r="BQ133" s="330">
        <f t="shared" si="86"/>
        <v>0</v>
      </c>
      <c r="BR133" s="330" t="str">
        <f t="shared" si="87"/>
        <v/>
      </c>
      <c r="BS133" s="432" t="str">
        <f t="shared" si="97"/>
        <v/>
      </c>
    </row>
    <row r="134" spans="1:71">
      <c r="A134" s="592"/>
      <c r="B134" s="592"/>
      <c r="C134" s="592"/>
      <c r="D134" s="592"/>
      <c r="E134" s="592"/>
      <c r="F134" s="592"/>
      <c r="G134" s="592"/>
      <c r="H134" s="592"/>
      <c r="I134" s="592"/>
      <c r="J134" s="592"/>
      <c r="Q134" s="18"/>
      <c r="R134" s="18"/>
      <c r="S134" s="18"/>
      <c r="T134" s="18"/>
      <c r="U134" s="18"/>
      <c r="V134" s="18"/>
      <c r="W134" s="18"/>
      <c r="X134" s="18"/>
      <c r="Y134" s="18"/>
      <c r="Z134" s="18"/>
      <c r="AA134" s="18"/>
      <c r="AB134" s="18"/>
      <c r="AC134" s="18"/>
      <c r="AD134" s="18"/>
      <c r="AE134" s="18"/>
      <c r="AI134" s="364">
        <v>89</v>
      </c>
      <c r="AJ134" s="330">
        <f t="shared" si="65"/>
        <v>0</v>
      </c>
      <c r="AK134" s="344" t="str">
        <f t="shared" si="66"/>
        <v>None</v>
      </c>
      <c r="AL134" s="330">
        <f t="shared" si="88"/>
        <v>0</v>
      </c>
      <c r="AM134" s="336">
        <f t="shared" si="98"/>
        <v>0</v>
      </c>
      <c r="AN134" s="330">
        <f t="shared" si="89"/>
        <v>0</v>
      </c>
      <c r="AO134" s="437">
        <f t="shared" si="99"/>
        <v>0</v>
      </c>
      <c r="AP134" s="348" t="b">
        <f t="shared" si="67"/>
        <v>0</v>
      </c>
      <c r="AQ134" s="348">
        <f t="shared" si="68"/>
        <v>0</v>
      </c>
      <c r="AR134" s="348">
        <f t="shared" si="69"/>
        <v>0</v>
      </c>
      <c r="AS134" s="348">
        <f t="shared" si="70"/>
        <v>0</v>
      </c>
      <c r="AT134" s="348" t="str">
        <f t="shared" si="90"/>
        <v/>
      </c>
      <c r="AU134" s="348" t="str">
        <f t="shared" si="91"/>
        <v/>
      </c>
      <c r="AV134" s="348">
        <f t="shared" si="92"/>
        <v>0</v>
      </c>
      <c r="AW134" s="348">
        <f t="shared" si="71"/>
        <v>0</v>
      </c>
      <c r="AX134" s="348">
        <f t="shared" si="72"/>
        <v>0</v>
      </c>
      <c r="AY134" s="330">
        <f t="shared" si="73"/>
        <v>0</v>
      </c>
      <c r="AZ134" s="330">
        <f t="shared" si="74"/>
        <v>0</v>
      </c>
      <c r="BA134" s="330">
        <f t="shared" si="75"/>
        <v>0</v>
      </c>
      <c r="BB134" s="330">
        <f t="shared" si="76"/>
        <v>0</v>
      </c>
      <c r="BC134" s="330">
        <f t="shared" si="77"/>
        <v>0</v>
      </c>
      <c r="BD134" s="330">
        <f t="shared" si="78"/>
        <v>0</v>
      </c>
      <c r="BE134" s="330">
        <f t="shared" si="93"/>
        <v>0</v>
      </c>
      <c r="BF134" s="330">
        <f t="shared" si="79"/>
        <v>0</v>
      </c>
      <c r="BG134" s="330">
        <f t="shared" si="80"/>
        <v>0</v>
      </c>
      <c r="BH134" s="330" t="str">
        <f t="shared" si="81"/>
        <v/>
      </c>
      <c r="BI134" s="330" t="str">
        <f t="shared" si="94"/>
        <v/>
      </c>
      <c r="BJ134" s="330" t="str">
        <f t="shared" si="95"/>
        <v/>
      </c>
      <c r="BK134" s="330" t="str">
        <f t="shared" si="82"/>
        <v/>
      </c>
      <c r="BL134" s="330" t="str">
        <f t="shared" si="83"/>
        <v/>
      </c>
      <c r="BM134" s="330" t="str">
        <f t="shared" si="96"/>
        <v/>
      </c>
      <c r="BN134" s="330" t="str">
        <f t="shared" si="100"/>
        <v/>
      </c>
      <c r="BO134" s="330">
        <f t="shared" si="84"/>
        <v>0</v>
      </c>
      <c r="BP134" s="330">
        <f t="shared" si="85"/>
        <v>0</v>
      </c>
      <c r="BQ134" s="330">
        <f t="shared" si="86"/>
        <v>0</v>
      </c>
      <c r="BR134" s="330" t="str">
        <f t="shared" si="87"/>
        <v/>
      </c>
      <c r="BS134" s="432" t="str">
        <f t="shared" si="97"/>
        <v/>
      </c>
    </row>
    <row r="135" spans="1:71">
      <c r="A135" s="592"/>
      <c r="B135" s="592"/>
      <c r="C135" s="592"/>
      <c r="D135" s="592"/>
      <c r="E135" s="592"/>
      <c r="F135" s="592"/>
      <c r="G135" s="592"/>
      <c r="H135" s="592"/>
      <c r="I135" s="592"/>
      <c r="J135" s="592"/>
      <c r="Q135" s="18"/>
      <c r="R135" s="18"/>
      <c r="S135" s="18"/>
      <c r="T135" s="18"/>
      <c r="U135" s="18"/>
      <c r="V135" s="18"/>
      <c r="W135" s="18"/>
      <c r="X135" s="18"/>
      <c r="Y135" s="18"/>
      <c r="Z135" s="18"/>
      <c r="AA135" s="18"/>
      <c r="AB135" s="18"/>
      <c r="AC135" s="18"/>
      <c r="AD135" s="18"/>
      <c r="AE135" s="18"/>
      <c r="AI135" s="364">
        <v>90</v>
      </c>
      <c r="AJ135" s="330">
        <f t="shared" si="65"/>
        <v>0</v>
      </c>
      <c r="AK135" s="344" t="str">
        <f t="shared" si="66"/>
        <v>None</v>
      </c>
      <c r="AL135" s="330">
        <f t="shared" si="88"/>
        <v>0</v>
      </c>
      <c r="AM135" s="336">
        <f t="shared" si="98"/>
        <v>0</v>
      </c>
      <c r="AN135" s="330">
        <f t="shared" si="89"/>
        <v>0</v>
      </c>
      <c r="AO135" s="437">
        <f t="shared" si="99"/>
        <v>0</v>
      </c>
      <c r="AP135" s="348" t="b">
        <f t="shared" si="67"/>
        <v>0</v>
      </c>
      <c r="AQ135" s="348">
        <f t="shared" si="68"/>
        <v>0</v>
      </c>
      <c r="AR135" s="348">
        <f t="shared" si="69"/>
        <v>0</v>
      </c>
      <c r="AS135" s="348">
        <f t="shared" si="70"/>
        <v>0</v>
      </c>
      <c r="AT135" s="348" t="str">
        <f t="shared" si="90"/>
        <v/>
      </c>
      <c r="AU135" s="348" t="str">
        <f t="shared" si="91"/>
        <v/>
      </c>
      <c r="AV135" s="348">
        <f t="shared" si="92"/>
        <v>0</v>
      </c>
      <c r="AW135" s="348">
        <f t="shared" si="71"/>
        <v>0</v>
      </c>
      <c r="AX135" s="348">
        <f t="shared" si="72"/>
        <v>0</v>
      </c>
      <c r="AY135" s="330">
        <f t="shared" si="73"/>
        <v>0</v>
      </c>
      <c r="AZ135" s="330">
        <f t="shared" si="74"/>
        <v>0</v>
      </c>
      <c r="BA135" s="330">
        <f t="shared" si="75"/>
        <v>0</v>
      </c>
      <c r="BB135" s="330">
        <f t="shared" si="76"/>
        <v>0</v>
      </c>
      <c r="BC135" s="330">
        <f t="shared" si="77"/>
        <v>0</v>
      </c>
      <c r="BD135" s="330">
        <f t="shared" si="78"/>
        <v>0</v>
      </c>
      <c r="BE135" s="330">
        <f t="shared" si="93"/>
        <v>0</v>
      </c>
      <c r="BF135" s="330">
        <f t="shared" si="79"/>
        <v>0</v>
      </c>
      <c r="BG135" s="330">
        <f t="shared" si="80"/>
        <v>0</v>
      </c>
      <c r="BH135" s="330" t="str">
        <f t="shared" si="81"/>
        <v/>
      </c>
      <c r="BI135" s="330" t="str">
        <f t="shared" si="94"/>
        <v/>
      </c>
      <c r="BJ135" s="330" t="str">
        <f t="shared" si="95"/>
        <v/>
      </c>
      <c r="BK135" s="330" t="str">
        <f t="shared" si="82"/>
        <v/>
      </c>
      <c r="BL135" s="330" t="str">
        <f t="shared" si="83"/>
        <v/>
      </c>
      <c r="BM135" s="330" t="str">
        <f t="shared" si="96"/>
        <v/>
      </c>
      <c r="BN135" s="330" t="str">
        <f t="shared" si="100"/>
        <v/>
      </c>
      <c r="BO135" s="330">
        <f t="shared" si="84"/>
        <v>0</v>
      </c>
      <c r="BP135" s="330">
        <f t="shared" si="85"/>
        <v>0</v>
      </c>
      <c r="BQ135" s="330">
        <f t="shared" si="86"/>
        <v>0</v>
      </c>
      <c r="BR135" s="330" t="str">
        <f t="shared" si="87"/>
        <v/>
      </c>
      <c r="BS135" s="432" t="str">
        <f t="shared" si="97"/>
        <v/>
      </c>
    </row>
    <row r="136" spans="1:71">
      <c r="A136" s="592"/>
      <c r="B136" s="592"/>
      <c r="C136" s="592"/>
      <c r="D136" s="592"/>
      <c r="E136" s="592"/>
      <c r="F136" s="592"/>
      <c r="G136" s="592"/>
      <c r="H136" s="592"/>
      <c r="I136" s="592"/>
      <c r="J136" s="592"/>
      <c r="Q136" s="18"/>
      <c r="R136" s="18"/>
      <c r="S136" s="18"/>
      <c r="T136" s="18"/>
      <c r="U136" s="18"/>
      <c r="V136" s="18"/>
      <c r="W136" s="18"/>
      <c r="X136" s="18"/>
      <c r="Y136" s="18"/>
      <c r="Z136" s="18"/>
      <c r="AA136" s="18"/>
      <c r="AB136" s="18"/>
      <c r="AC136" s="18"/>
      <c r="AD136" s="18"/>
      <c r="AE136" s="18"/>
      <c r="AI136" s="364">
        <v>91</v>
      </c>
      <c r="AJ136" s="330">
        <f t="shared" si="65"/>
        <v>0</v>
      </c>
      <c r="AK136" s="344" t="str">
        <f t="shared" si="66"/>
        <v>None</v>
      </c>
      <c r="AL136" s="330">
        <f t="shared" si="88"/>
        <v>0</v>
      </c>
      <c r="AM136" s="336">
        <f t="shared" si="98"/>
        <v>0</v>
      </c>
      <c r="AN136" s="330">
        <f t="shared" si="89"/>
        <v>0</v>
      </c>
      <c r="AO136" s="437">
        <f t="shared" si="99"/>
        <v>0</v>
      </c>
      <c r="AP136" s="348" t="b">
        <f t="shared" si="67"/>
        <v>0</v>
      </c>
      <c r="AQ136" s="348">
        <f t="shared" si="68"/>
        <v>0</v>
      </c>
      <c r="AR136" s="348">
        <f t="shared" si="69"/>
        <v>0</v>
      </c>
      <c r="AS136" s="348">
        <f t="shared" si="70"/>
        <v>0</v>
      </c>
      <c r="AT136" s="348" t="str">
        <f t="shared" si="90"/>
        <v/>
      </c>
      <c r="AU136" s="348" t="str">
        <f t="shared" si="91"/>
        <v/>
      </c>
      <c r="AV136" s="348">
        <f t="shared" si="92"/>
        <v>0</v>
      </c>
      <c r="AW136" s="348">
        <f t="shared" si="71"/>
        <v>0</v>
      </c>
      <c r="AX136" s="348">
        <f t="shared" si="72"/>
        <v>0</v>
      </c>
      <c r="AY136" s="330">
        <f t="shared" si="73"/>
        <v>0</v>
      </c>
      <c r="AZ136" s="330">
        <f t="shared" si="74"/>
        <v>0</v>
      </c>
      <c r="BA136" s="330">
        <f t="shared" si="75"/>
        <v>0</v>
      </c>
      <c r="BB136" s="330">
        <f t="shared" si="76"/>
        <v>0</v>
      </c>
      <c r="BC136" s="330">
        <f t="shared" si="77"/>
        <v>0</v>
      </c>
      <c r="BD136" s="330">
        <f t="shared" si="78"/>
        <v>0</v>
      </c>
      <c r="BE136" s="330">
        <f t="shared" si="93"/>
        <v>0</v>
      </c>
      <c r="BF136" s="330">
        <f t="shared" si="79"/>
        <v>0</v>
      </c>
      <c r="BG136" s="330">
        <f t="shared" si="80"/>
        <v>0</v>
      </c>
      <c r="BH136" s="330" t="str">
        <f t="shared" si="81"/>
        <v/>
      </c>
      <c r="BI136" s="330" t="str">
        <f t="shared" si="94"/>
        <v/>
      </c>
      <c r="BJ136" s="330" t="str">
        <f t="shared" si="95"/>
        <v/>
      </c>
      <c r="BK136" s="330" t="str">
        <f t="shared" si="82"/>
        <v/>
      </c>
      <c r="BL136" s="330" t="str">
        <f t="shared" si="83"/>
        <v/>
      </c>
      <c r="BM136" s="330" t="str">
        <f t="shared" si="96"/>
        <v/>
      </c>
      <c r="BN136" s="330" t="str">
        <f t="shared" si="100"/>
        <v/>
      </c>
      <c r="BO136" s="330">
        <f t="shared" si="84"/>
        <v>0</v>
      </c>
      <c r="BP136" s="330">
        <f t="shared" si="85"/>
        <v>0</v>
      </c>
      <c r="BQ136" s="330">
        <f t="shared" si="86"/>
        <v>0</v>
      </c>
      <c r="BR136" s="330" t="str">
        <f t="shared" si="87"/>
        <v/>
      </c>
      <c r="BS136" s="432" t="str">
        <f t="shared" si="97"/>
        <v/>
      </c>
    </row>
    <row r="137" spans="1:71">
      <c r="A137" s="592"/>
      <c r="B137" s="592"/>
      <c r="C137" s="592"/>
      <c r="D137" s="592"/>
      <c r="E137" s="592"/>
      <c r="F137" s="592"/>
      <c r="G137" s="592"/>
      <c r="H137" s="592"/>
      <c r="I137" s="592"/>
      <c r="J137" s="592"/>
      <c r="Q137" s="18"/>
      <c r="R137" s="18"/>
      <c r="S137" s="18"/>
      <c r="T137" s="18"/>
      <c r="U137" s="18"/>
      <c r="V137" s="18"/>
      <c r="W137" s="18"/>
      <c r="X137" s="18"/>
      <c r="Y137" s="18"/>
      <c r="Z137" s="18"/>
      <c r="AA137" s="18"/>
      <c r="AB137" s="18"/>
      <c r="AC137" s="18"/>
      <c r="AD137" s="18"/>
      <c r="AE137" s="18"/>
      <c r="AI137" s="364">
        <v>92</v>
      </c>
      <c r="AJ137" s="330">
        <f t="shared" si="65"/>
        <v>0</v>
      </c>
      <c r="AK137" s="344" t="str">
        <f t="shared" si="66"/>
        <v>None</v>
      </c>
      <c r="AL137" s="330">
        <f t="shared" si="88"/>
        <v>0</v>
      </c>
      <c r="AM137" s="336">
        <f t="shared" si="98"/>
        <v>0</v>
      </c>
      <c r="AN137" s="330">
        <f t="shared" si="89"/>
        <v>0</v>
      </c>
      <c r="AO137" s="437">
        <f t="shared" si="99"/>
        <v>0</v>
      </c>
      <c r="AP137" s="348" t="b">
        <f t="shared" si="67"/>
        <v>0</v>
      </c>
      <c r="AQ137" s="348">
        <f t="shared" si="68"/>
        <v>0</v>
      </c>
      <c r="AR137" s="348">
        <f t="shared" si="69"/>
        <v>0</v>
      </c>
      <c r="AS137" s="348">
        <f t="shared" si="70"/>
        <v>0</v>
      </c>
      <c r="AT137" s="348" t="str">
        <f t="shared" si="90"/>
        <v/>
      </c>
      <c r="AU137" s="348" t="str">
        <f t="shared" si="91"/>
        <v/>
      </c>
      <c r="AV137" s="348">
        <f t="shared" si="92"/>
        <v>0</v>
      </c>
      <c r="AW137" s="348">
        <f t="shared" si="71"/>
        <v>0</v>
      </c>
      <c r="AX137" s="348">
        <f t="shared" si="72"/>
        <v>0</v>
      </c>
      <c r="AY137" s="330">
        <f t="shared" si="73"/>
        <v>0</v>
      </c>
      <c r="AZ137" s="330">
        <f t="shared" si="74"/>
        <v>0</v>
      </c>
      <c r="BA137" s="330">
        <f t="shared" si="75"/>
        <v>0</v>
      </c>
      <c r="BB137" s="330">
        <f t="shared" si="76"/>
        <v>0</v>
      </c>
      <c r="BC137" s="330">
        <f t="shared" si="77"/>
        <v>0</v>
      </c>
      <c r="BD137" s="330">
        <f t="shared" si="78"/>
        <v>0</v>
      </c>
      <c r="BE137" s="330">
        <f t="shared" si="93"/>
        <v>0</v>
      </c>
      <c r="BF137" s="330">
        <f t="shared" si="79"/>
        <v>0</v>
      </c>
      <c r="BG137" s="330">
        <f t="shared" si="80"/>
        <v>0</v>
      </c>
      <c r="BH137" s="330" t="str">
        <f t="shared" si="81"/>
        <v/>
      </c>
      <c r="BI137" s="330" t="str">
        <f t="shared" si="94"/>
        <v/>
      </c>
      <c r="BJ137" s="330" t="str">
        <f t="shared" si="95"/>
        <v/>
      </c>
      <c r="BK137" s="330" t="str">
        <f t="shared" si="82"/>
        <v/>
      </c>
      <c r="BL137" s="330" t="str">
        <f t="shared" si="83"/>
        <v/>
      </c>
      <c r="BM137" s="330" t="str">
        <f t="shared" si="96"/>
        <v/>
      </c>
      <c r="BN137" s="330" t="str">
        <f t="shared" si="100"/>
        <v/>
      </c>
      <c r="BO137" s="330">
        <f t="shared" si="84"/>
        <v>0</v>
      </c>
      <c r="BP137" s="330">
        <f t="shared" si="85"/>
        <v>0</v>
      </c>
      <c r="BQ137" s="330">
        <f t="shared" si="86"/>
        <v>0</v>
      </c>
      <c r="BR137" s="330" t="str">
        <f t="shared" si="87"/>
        <v/>
      </c>
      <c r="BS137" s="432" t="str">
        <f t="shared" si="97"/>
        <v/>
      </c>
    </row>
    <row r="138" spans="1:71">
      <c r="A138" s="592"/>
      <c r="B138" s="592"/>
      <c r="C138" s="592"/>
      <c r="D138" s="592"/>
      <c r="E138" s="592"/>
      <c r="F138" s="592"/>
      <c r="G138" s="592"/>
      <c r="H138" s="592"/>
      <c r="I138" s="592"/>
      <c r="J138" s="592"/>
      <c r="Q138" s="18"/>
      <c r="R138" s="18"/>
      <c r="S138" s="18"/>
      <c r="T138" s="18"/>
      <c r="U138" s="18"/>
      <c r="V138" s="18"/>
      <c r="W138" s="18"/>
      <c r="X138" s="18"/>
      <c r="Y138" s="18"/>
      <c r="Z138" s="18"/>
      <c r="AA138" s="18"/>
      <c r="AB138" s="18"/>
      <c r="AC138" s="18"/>
      <c r="AD138" s="18"/>
      <c r="AE138" s="18"/>
      <c r="AI138" s="364">
        <v>93</v>
      </c>
      <c r="AJ138" s="330">
        <f t="shared" si="65"/>
        <v>0</v>
      </c>
      <c r="AK138" s="344" t="str">
        <f t="shared" si="66"/>
        <v>None</v>
      </c>
      <c r="AL138" s="330">
        <f t="shared" si="88"/>
        <v>0</v>
      </c>
      <c r="AM138" s="336">
        <f t="shared" si="98"/>
        <v>0</v>
      </c>
      <c r="AN138" s="330">
        <f t="shared" si="89"/>
        <v>0</v>
      </c>
      <c r="AO138" s="437">
        <f t="shared" si="99"/>
        <v>0</v>
      </c>
      <c r="AP138" s="348" t="b">
        <f t="shared" si="67"/>
        <v>0</v>
      </c>
      <c r="AQ138" s="348">
        <f t="shared" si="68"/>
        <v>0</v>
      </c>
      <c r="AR138" s="348">
        <f t="shared" si="69"/>
        <v>0</v>
      </c>
      <c r="AS138" s="348">
        <f t="shared" si="70"/>
        <v>0</v>
      </c>
      <c r="AT138" s="348" t="str">
        <f t="shared" si="90"/>
        <v/>
      </c>
      <c r="AU138" s="348" t="str">
        <f t="shared" si="91"/>
        <v/>
      </c>
      <c r="AV138" s="348">
        <f t="shared" si="92"/>
        <v>0</v>
      </c>
      <c r="AW138" s="348">
        <f t="shared" si="71"/>
        <v>0</v>
      </c>
      <c r="AX138" s="348">
        <f t="shared" si="72"/>
        <v>0</v>
      </c>
      <c r="AY138" s="330">
        <f t="shared" si="73"/>
        <v>0</v>
      </c>
      <c r="AZ138" s="330">
        <f t="shared" si="74"/>
        <v>0</v>
      </c>
      <c r="BA138" s="330">
        <f t="shared" si="75"/>
        <v>0</v>
      </c>
      <c r="BB138" s="330">
        <f t="shared" si="76"/>
        <v>0</v>
      </c>
      <c r="BC138" s="330">
        <f t="shared" si="77"/>
        <v>0</v>
      </c>
      <c r="BD138" s="330">
        <f t="shared" si="78"/>
        <v>0</v>
      </c>
      <c r="BE138" s="330">
        <f t="shared" si="93"/>
        <v>0</v>
      </c>
      <c r="BF138" s="330">
        <f t="shared" si="79"/>
        <v>0</v>
      </c>
      <c r="BG138" s="330">
        <f t="shared" si="80"/>
        <v>0</v>
      </c>
      <c r="BH138" s="330" t="str">
        <f t="shared" si="81"/>
        <v/>
      </c>
      <c r="BI138" s="330" t="str">
        <f t="shared" si="94"/>
        <v/>
      </c>
      <c r="BJ138" s="330" t="str">
        <f t="shared" si="95"/>
        <v/>
      </c>
      <c r="BK138" s="330" t="str">
        <f t="shared" si="82"/>
        <v/>
      </c>
      <c r="BL138" s="330" t="str">
        <f t="shared" si="83"/>
        <v/>
      </c>
      <c r="BM138" s="330" t="str">
        <f t="shared" si="96"/>
        <v/>
      </c>
      <c r="BN138" s="330" t="str">
        <f t="shared" si="100"/>
        <v/>
      </c>
      <c r="BO138" s="330">
        <f t="shared" si="84"/>
        <v>0</v>
      </c>
      <c r="BP138" s="330">
        <f t="shared" si="85"/>
        <v>0</v>
      </c>
      <c r="BQ138" s="330">
        <f t="shared" si="86"/>
        <v>0</v>
      </c>
      <c r="BR138" s="330" t="str">
        <f t="shared" si="87"/>
        <v/>
      </c>
      <c r="BS138" s="432" t="str">
        <f t="shared" si="97"/>
        <v/>
      </c>
    </row>
    <row r="139" spans="1:71">
      <c r="A139" s="592"/>
      <c r="B139" s="592"/>
      <c r="C139" s="592"/>
      <c r="D139" s="592"/>
      <c r="E139" s="592"/>
      <c r="F139" s="592"/>
      <c r="G139" s="592"/>
      <c r="H139" s="592"/>
      <c r="I139" s="592"/>
      <c r="J139" s="592"/>
      <c r="Q139" s="18"/>
      <c r="R139" s="18"/>
      <c r="S139" s="18"/>
      <c r="T139" s="18"/>
      <c r="U139" s="18"/>
      <c r="V139" s="18"/>
      <c r="W139" s="18"/>
      <c r="X139" s="18"/>
      <c r="Y139" s="18"/>
      <c r="Z139" s="18"/>
      <c r="AA139" s="18"/>
      <c r="AB139" s="18"/>
      <c r="AC139" s="18"/>
      <c r="AD139" s="18"/>
      <c r="AE139" s="18"/>
      <c r="AI139" s="364">
        <v>94</v>
      </c>
      <c r="AJ139" s="330">
        <f t="shared" si="65"/>
        <v>0</v>
      </c>
      <c r="AK139" s="344" t="str">
        <f t="shared" si="66"/>
        <v>None</v>
      </c>
      <c r="AL139" s="330">
        <f t="shared" si="88"/>
        <v>0</v>
      </c>
      <c r="AM139" s="336">
        <f t="shared" si="98"/>
        <v>0</v>
      </c>
      <c r="AN139" s="330">
        <f t="shared" si="89"/>
        <v>0</v>
      </c>
      <c r="AO139" s="437">
        <f t="shared" si="99"/>
        <v>0</v>
      </c>
      <c r="AP139" s="348" t="b">
        <f t="shared" si="67"/>
        <v>0</v>
      </c>
      <c r="AQ139" s="348">
        <f t="shared" si="68"/>
        <v>0</v>
      </c>
      <c r="AR139" s="348">
        <f t="shared" si="69"/>
        <v>0</v>
      </c>
      <c r="AS139" s="348">
        <f t="shared" si="70"/>
        <v>0</v>
      </c>
      <c r="AT139" s="348" t="str">
        <f t="shared" si="90"/>
        <v/>
      </c>
      <c r="AU139" s="348" t="str">
        <f t="shared" si="91"/>
        <v/>
      </c>
      <c r="AV139" s="348">
        <f t="shared" si="92"/>
        <v>0</v>
      </c>
      <c r="AW139" s="348">
        <f t="shared" si="71"/>
        <v>0</v>
      </c>
      <c r="AX139" s="348">
        <f t="shared" si="72"/>
        <v>0</v>
      </c>
      <c r="AY139" s="330">
        <f t="shared" si="73"/>
        <v>0</v>
      </c>
      <c r="AZ139" s="330">
        <f t="shared" si="74"/>
        <v>0</v>
      </c>
      <c r="BA139" s="330">
        <f t="shared" si="75"/>
        <v>0</v>
      </c>
      <c r="BB139" s="330">
        <f t="shared" si="76"/>
        <v>0</v>
      </c>
      <c r="BC139" s="330">
        <f t="shared" si="77"/>
        <v>0</v>
      </c>
      <c r="BD139" s="330">
        <f t="shared" si="78"/>
        <v>0</v>
      </c>
      <c r="BE139" s="330">
        <f t="shared" si="93"/>
        <v>0</v>
      </c>
      <c r="BF139" s="330">
        <f t="shared" si="79"/>
        <v>0</v>
      </c>
      <c r="BG139" s="330">
        <f t="shared" si="80"/>
        <v>0</v>
      </c>
      <c r="BH139" s="330" t="str">
        <f t="shared" si="81"/>
        <v/>
      </c>
      <c r="BI139" s="330" t="str">
        <f t="shared" si="94"/>
        <v/>
      </c>
      <c r="BJ139" s="330" t="str">
        <f t="shared" si="95"/>
        <v/>
      </c>
      <c r="BK139" s="330" t="str">
        <f t="shared" si="82"/>
        <v/>
      </c>
      <c r="BL139" s="330" t="str">
        <f t="shared" si="83"/>
        <v/>
      </c>
      <c r="BM139" s="330" t="str">
        <f t="shared" si="96"/>
        <v/>
      </c>
      <c r="BN139" s="330" t="str">
        <f t="shared" si="100"/>
        <v/>
      </c>
      <c r="BO139" s="330">
        <f t="shared" si="84"/>
        <v>0</v>
      </c>
      <c r="BP139" s="330">
        <f t="shared" si="85"/>
        <v>0</v>
      </c>
      <c r="BQ139" s="330">
        <f t="shared" si="86"/>
        <v>0</v>
      </c>
      <c r="BR139" s="330" t="str">
        <f t="shared" si="87"/>
        <v/>
      </c>
      <c r="BS139" s="432" t="str">
        <f t="shared" si="97"/>
        <v/>
      </c>
    </row>
    <row r="140" spans="1:71">
      <c r="A140" s="592"/>
      <c r="B140" s="592"/>
      <c r="C140" s="592"/>
      <c r="D140" s="592"/>
      <c r="E140" s="592"/>
      <c r="F140" s="592"/>
      <c r="G140" s="592"/>
      <c r="H140" s="592"/>
      <c r="I140" s="592"/>
      <c r="J140" s="592"/>
      <c r="Q140" s="18"/>
      <c r="R140" s="18"/>
      <c r="S140" s="18"/>
      <c r="T140" s="18"/>
      <c r="U140" s="18"/>
      <c r="V140" s="18"/>
      <c r="W140" s="18"/>
      <c r="X140" s="18"/>
      <c r="Y140" s="18"/>
      <c r="Z140" s="18"/>
      <c r="AA140" s="18"/>
      <c r="AB140" s="18"/>
      <c r="AC140" s="18"/>
      <c r="AD140" s="18"/>
      <c r="AE140" s="18"/>
      <c r="AI140" s="364">
        <v>95</v>
      </c>
      <c r="AJ140" s="330">
        <f t="shared" si="65"/>
        <v>0</v>
      </c>
      <c r="AK140" s="344" t="str">
        <f t="shared" si="66"/>
        <v>None</v>
      </c>
      <c r="AL140" s="330">
        <f t="shared" si="88"/>
        <v>0</v>
      </c>
      <c r="AM140" s="336">
        <f t="shared" si="98"/>
        <v>0</v>
      </c>
      <c r="AN140" s="330">
        <f t="shared" si="89"/>
        <v>0</v>
      </c>
      <c r="AO140" s="437">
        <f t="shared" si="99"/>
        <v>0</v>
      </c>
      <c r="AP140" s="348" t="b">
        <f t="shared" si="67"/>
        <v>0</v>
      </c>
      <c r="AQ140" s="348">
        <f t="shared" si="68"/>
        <v>0</v>
      </c>
      <c r="AR140" s="348">
        <f t="shared" si="69"/>
        <v>0</v>
      </c>
      <c r="AS140" s="348">
        <f t="shared" si="70"/>
        <v>0</v>
      </c>
      <c r="AT140" s="348" t="str">
        <f t="shared" si="90"/>
        <v/>
      </c>
      <c r="AU140" s="348" t="str">
        <f t="shared" si="91"/>
        <v/>
      </c>
      <c r="AV140" s="348">
        <f t="shared" si="92"/>
        <v>0</v>
      </c>
      <c r="AW140" s="348">
        <f t="shared" si="71"/>
        <v>0</v>
      </c>
      <c r="AX140" s="348">
        <f t="shared" si="72"/>
        <v>0</v>
      </c>
      <c r="AY140" s="330">
        <f t="shared" si="73"/>
        <v>0</v>
      </c>
      <c r="AZ140" s="330">
        <f t="shared" si="74"/>
        <v>0</v>
      </c>
      <c r="BA140" s="330">
        <f t="shared" si="75"/>
        <v>0</v>
      </c>
      <c r="BB140" s="330">
        <f t="shared" si="76"/>
        <v>0</v>
      </c>
      <c r="BC140" s="330">
        <f t="shared" si="77"/>
        <v>0</v>
      </c>
      <c r="BD140" s="330">
        <f t="shared" si="78"/>
        <v>0</v>
      </c>
      <c r="BE140" s="330">
        <f t="shared" si="93"/>
        <v>0</v>
      </c>
      <c r="BF140" s="330">
        <f t="shared" si="79"/>
        <v>0</v>
      </c>
      <c r="BG140" s="330">
        <f t="shared" si="80"/>
        <v>0</v>
      </c>
      <c r="BH140" s="330" t="str">
        <f t="shared" si="81"/>
        <v/>
      </c>
      <c r="BI140" s="330" t="str">
        <f t="shared" si="94"/>
        <v/>
      </c>
      <c r="BJ140" s="330" t="str">
        <f t="shared" si="95"/>
        <v/>
      </c>
      <c r="BK140" s="330" t="str">
        <f t="shared" si="82"/>
        <v/>
      </c>
      <c r="BL140" s="330" t="str">
        <f t="shared" si="83"/>
        <v/>
      </c>
      <c r="BM140" s="330" t="str">
        <f t="shared" si="96"/>
        <v/>
      </c>
      <c r="BN140" s="330" t="str">
        <f t="shared" si="100"/>
        <v/>
      </c>
      <c r="BO140" s="330">
        <f t="shared" si="84"/>
        <v>0</v>
      </c>
      <c r="BP140" s="330">
        <f t="shared" si="85"/>
        <v>0</v>
      </c>
      <c r="BQ140" s="330">
        <f t="shared" si="86"/>
        <v>0</v>
      </c>
      <c r="BR140" s="330" t="str">
        <f t="shared" si="87"/>
        <v/>
      </c>
      <c r="BS140" s="432" t="str">
        <f t="shared" si="97"/>
        <v/>
      </c>
    </row>
    <row r="141" spans="1:71">
      <c r="A141" s="592"/>
      <c r="B141" s="592"/>
      <c r="C141" s="592"/>
      <c r="D141" s="592"/>
      <c r="E141" s="592"/>
      <c r="F141" s="592"/>
      <c r="G141" s="592"/>
      <c r="H141" s="592"/>
      <c r="I141" s="592"/>
      <c r="J141" s="592"/>
      <c r="Q141" s="18"/>
      <c r="R141" s="18"/>
      <c r="S141" s="18"/>
      <c r="T141" s="18"/>
      <c r="U141" s="18"/>
      <c r="V141" s="18"/>
      <c r="W141" s="18"/>
      <c r="X141" s="18"/>
      <c r="Y141" s="18"/>
      <c r="Z141" s="18"/>
      <c r="AA141" s="18"/>
      <c r="AB141" s="18"/>
      <c r="AC141" s="18"/>
      <c r="AD141" s="18"/>
      <c r="AE141" s="18"/>
      <c r="AI141" s="364">
        <v>96</v>
      </c>
      <c r="AJ141" s="330">
        <f t="shared" si="65"/>
        <v>0</v>
      </c>
      <c r="AK141" s="344" t="str">
        <f t="shared" si="66"/>
        <v>None</v>
      </c>
      <c r="AL141" s="330">
        <f t="shared" si="88"/>
        <v>0</v>
      </c>
      <c r="AM141" s="336">
        <f t="shared" si="98"/>
        <v>0</v>
      </c>
      <c r="AN141" s="330">
        <f t="shared" si="89"/>
        <v>0</v>
      </c>
      <c r="AO141" s="437">
        <f t="shared" si="99"/>
        <v>0</v>
      </c>
      <c r="AP141" s="348" t="b">
        <f t="shared" si="67"/>
        <v>0</v>
      </c>
      <c r="AQ141" s="348">
        <f t="shared" si="68"/>
        <v>0</v>
      </c>
      <c r="AR141" s="348">
        <f t="shared" si="69"/>
        <v>0</v>
      </c>
      <c r="AS141" s="348">
        <f t="shared" si="70"/>
        <v>0</v>
      </c>
      <c r="AT141" s="348" t="str">
        <f t="shared" si="90"/>
        <v/>
      </c>
      <c r="AU141" s="348" t="str">
        <f t="shared" si="91"/>
        <v/>
      </c>
      <c r="AV141" s="348">
        <f t="shared" si="92"/>
        <v>0</v>
      </c>
      <c r="AW141" s="348">
        <f t="shared" si="71"/>
        <v>0</v>
      </c>
      <c r="AX141" s="348">
        <f t="shared" si="72"/>
        <v>0</v>
      </c>
      <c r="AY141" s="330">
        <f t="shared" si="73"/>
        <v>0</v>
      </c>
      <c r="AZ141" s="330">
        <f t="shared" si="74"/>
        <v>0</v>
      </c>
      <c r="BA141" s="330">
        <f t="shared" si="75"/>
        <v>0</v>
      </c>
      <c r="BB141" s="330">
        <f t="shared" si="76"/>
        <v>0</v>
      </c>
      <c r="BC141" s="330">
        <f t="shared" si="77"/>
        <v>0</v>
      </c>
      <c r="BD141" s="330">
        <f t="shared" si="78"/>
        <v>0</v>
      </c>
      <c r="BE141" s="330">
        <f t="shared" si="93"/>
        <v>0</v>
      </c>
      <c r="BF141" s="330">
        <f t="shared" si="79"/>
        <v>0</v>
      </c>
      <c r="BG141" s="330">
        <f t="shared" si="80"/>
        <v>0</v>
      </c>
      <c r="BH141" s="330" t="str">
        <f t="shared" si="81"/>
        <v/>
      </c>
      <c r="BI141" s="330" t="str">
        <f t="shared" si="94"/>
        <v/>
      </c>
      <c r="BJ141" s="330" t="str">
        <f t="shared" si="95"/>
        <v/>
      </c>
      <c r="BK141" s="330" t="str">
        <f t="shared" si="82"/>
        <v/>
      </c>
      <c r="BL141" s="330" t="str">
        <f t="shared" si="83"/>
        <v/>
      </c>
      <c r="BM141" s="330" t="str">
        <f t="shared" si="96"/>
        <v/>
      </c>
      <c r="BN141" s="330" t="str">
        <f t="shared" si="100"/>
        <v/>
      </c>
      <c r="BO141" s="330">
        <f t="shared" si="84"/>
        <v>0</v>
      </c>
      <c r="BP141" s="330">
        <f t="shared" si="85"/>
        <v>0</v>
      </c>
      <c r="BQ141" s="330">
        <f t="shared" si="86"/>
        <v>0</v>
      </c>
      <c r="BR141" s="330" t="str">
        <f t="shared" si="87"/>
        <v/>
      </c>
      <c r="BS141" s="432" t="str">
        <f t="shared" si="97"/>
        <v/>
      </c>
    </row>
    <row r="142" spans="1:71">
      <c r="A142" s="592"/>
      <c r="B142" s="592"/>
      <c r="C142" s="592"/>
      <c r="D142" s="592"/>
      <c r="E142" s="592"/>
      <c r="F142" s="592"/>
      <c r="G142" s="592"/>
      <c r="H142" s="592"/>
      <c r="I142" s="592"/>
      <c r="J142" s="592"/>
      <c r="Q142" s="18"/>
      <c r="R142" s="18"/>
      <c r="S142" s="18"/>
      <c r="T142" s="18"/>
      <c r="U142" s="18"/>
      <c r="V142" s="18"/>
      <c r="W142" s="18"/>
      <c r="X142" s="18"/>
      <c r="Y142" s="18"/>
      <c r="Z142" s="18"/>
      <c r="AA142" s="18"/>
      <c r="AB142" s="18"/>
      <c r="AC142" s="18"/>
      <c r="AD142" s="18"/>
      <c r="AE142" s="18"/>
      <c r="AI142" s="364">
        <v>97</v>
      </c>
      <c r="AJ142" s="330">
        <f t="shared" si="65"/>
        <v>0</v>
      </c>
      <c r="AK142" s="344" t="str">
        <f t="shared" si="66"/>
        <v>None</v>
      </c>
      <c r="AL142" s="330">
        <f t="shared" ref="AL142:AL173" si="101">$AL$45+ABS(AJ142*$M$19*$M$17)</f>
        <v>0</v>
      </c>
      <c r="AM142" s="336">
        <f t="shared" si="98"/>
        <v>0</v>
      </c>
      <c r="AN142" s="330">
        <f t="shared" ref="AN142:AN173" si="102">$AN$45+ABS(AJ142*$M$19*$M$17)</f>
        <v>0</v>
      </c>
      <c r="AO142" s="437">
        <f t="shared" si="99"/>
        <v>0</v>
      </c>
      <c r="AP142" s="348" t="b">
        <f t="shared" si="67"/>
        <v>0</v>
      </c>
      <c r="AQ142" s="348">
        <f t="shared" si="68"/>
        <v>0</v>
      </c>
      <c r="AR142" s="348">
        <f t="shared" si="69"/>
        <v>0</v>
      </c>
      <c r="AS142" s="348">
        <f t="shared" si="70"/>
        <v>0</v>
      </c>
      <c r="AT142" s="348" t="str">
        <f t="shared" si="90"/>
        <v/>
      </c>
      <c r="AU142" s="348" t="str">
        <f t="shared" si="91"/>
        <v/>
      </c>
      <c r="AV142" s="348">
        <f t="shared" si="92"/>
        <v>0</v>
      </c>
      <c r="AW142" s="348">
        <f t="shared" si="71"/>
        <v>0</v>
      </c>
      <c r="AX142" s="348">
        <f t="shared" si="72"/>
        <v>0</v>
      </c>
      <c r="AY142" s="330">
        <f t="shared" si="73"/>
        <v>0</v>
      </c>
      <c r="AZ142" s="330">
        <f t="shared" si="74"/>
        <v>0</v>
      </c>
      <c r="BA142" s="330">
        <f t="shared" si="75"/>
        <v>0</v>
      </c>
      <c r="BB142" s="330">
        <f t="shared" si="76"/>
        <v>0</v>
      </c>
      <c r="BC142" s="330">
        <f t="shared" si="77"/>
        <v>0</v>
      </c>
      <c r="BD142" s="330">
        <f t="shared" si="78"/>
        <v>0</v>
      </c>
      <c r="BE142" s="330">
        <f t="shared" si="93"/>
        <v>0</v>
      </c>
      <c r="BF142" s="330">
        <f t="shared" si="79"/>
        <v>0</v>
      </c>
      <c r="BG142" s="330">
        <f t="shared" si="80"/>
        <v>0</v>
      </c>
      <c r="BH142" s="330" t="str">
        <f t="shared" si="81"/>
        <v/>
      </c>
      <c r="BI142" s="330" t="str">
        <f t="shared" si="94"/>
        <v/>
      </c>
      <c r="BJ142" s="330" t="str">
        <f t="shared" si="95"/>
        <v/>
      </c>
      <c r="BK142" s="330" t="str">
        <f t="shared" si="82"/>
        <v/>
      </c>
      <c r="BL142" s="330" t="str">
        <f t="shared" si="83"/>
        <v/>
      </c>
      <c r="BM142" s="330" t="str">
        <f t="shared" si="96"/>
        <v/>
      </c>
      <c r="BN142" s="330" t="str">
        <f t="shared" si="100"/>
        <v/>
      </c>
      <c r="BO142" s="330">
        <f t="shared" si="84"/>
        <v>0</v>
      </c>
      <c r="BP142" s="330">
        <f t="shared" si="85"/>
        <v>0</v>
      </c>
      <c r="BQ142" s="330">
        <f t="shared" si="86"/>
        <v>0</v>
      </c>
      <c r="BR142" s="330" t="str">
        <f t="shared" si="87"/>
        <v/>
      </c>
      <c r="BS142" s="432" t="str">
        <f t="shared" si="97"/>
        <v/>
      </c>
    </row>
    <row r="143" spans="1:71">
      <c r="A143" s="592"/>
      <c r="B143" s="592"/>
      <c r="C143" s="592"/>
      <c r="D143" s="592"/>
      <c r="E143" s="592"/>
      <c r="F143" s="592"/>
      <c r="G143" s="592"/>
      <c r="H143" s="592"/>
      <c r="I143" s="592"/>
      <c r="J143" s="592"/>
      <c r="Q143" s="18"/>
      <c r="R143" s="18"/>
      <c r="S143" s="18"/>
      <c r="T143" s="18"/>
      <c r="U143" s="18"/>
      <c r="V143" s="18"/>
      <c r="W143" s="18"/>
      <c r="X143" s="18"/>
      <c r="Y143" s="18"/>
      <c r="Z143" s="18"/>
      <c r="AA143" s="18"/>
      <c r="AB143" s="18"/>
      <c r="AC143" s="18"/>
      <c r="AD143" s="18"/>
      <c r="AE143" s="18"/>
      <c r="AI143" s="364">
        <v>98</v>
      </c>
      <c r="AJ143" s="330">
        <f t="shared" si="65"/>
        <v>0</v>
      </c>
      <c r="AK143" s="344" t="str">
        <f t="shared" si="66"/>
        <v>None</v>
      </c>
      <c r="AL143" s="330">
        <f t="shared" si="101"/>
        <v>0</v>
      </c>
      <c r="AM143" s="336">
        <f t="shared" si="98"/>
        <v>0</v>
      </c>
      <c r="AN143" s="330">
        <f t="shared" si="102"/>
        <v>0</v>
      </c>
      <c r="AO143" s="437">
        <f t="shared" si="99"/>
        <v>0</v>
      </c>
      <c r="AP143" s="348" t="b">
        <f t="shared" si="67"/>
        <v>0</v>
      </c>
      <c r="AQ143" s="348">
        <f t="shared" si="68"/>
        <v>0</v>
      </c>
      <c r="AR143" s="348">
        <f t="shared" si="69"/>
        <v>0</v>
      </c>
      <c r="AS143" s="348">
        <f t="shared" si="70"/>
        <v>0</v>
      </c>
      <c r="AT143" s="348" t="str">
        <f t="shared" si="90"/>
        <v/>
      </c>
      <c r="AU143" s="348" t="str">
        <f t="shared" si="91"/>
        <v/>
      </c>
      <c r="AV143" s="348">
        <f t="shared" si="92"/>
        <v>0</v>
      </c>
      <c r="AW143" s="348">
        <f t="shared" si="71"/>
        <v>0</v>
      </c>
      <c r="AX143" s="348">
        <f t="shared" si="72"/>
        <v>0</v>
      </c>
      <c r="AY143" s="330">
        <f t="shared" si="73"/>
        <v>0</v>
      </c>
      <c r="AZ143" s="330">
        <f t="shared" si="74"/>
        <v>0</v>
      </c>
      <c r="BA143" s="330">
        <f t="shared" si="75"/>
        <v>0</v>
      </c>
      <c r="BB143" s="330">
        <f t="shared" si="76"/>
        <v>0</v>
      </c>
      <c r="BC143" s="330">
        <f t="shared" si="77"/>
        <v>0</v>
      </c>
      <c r="BD143" s="330">
        <f t="shared" si="78"/>
        <v>0</v>
      </c>
      <c r="BE143" s="330">
        <f t="shared" si="93"/>
        <v>0</v>
      </c>
      <c r="BF143" s="330">
        <f t="shared" si="79"/>
        <v>0</v>
      </c>
      <c r="BG143" s="330">
        <f t="shared" si="80"/>
        <v>0</v>
      </c>
      <c r="BH143" s="330" t="str">
        <f t="shared" si="81"/>
        <v/>
      </c>
      <c r="BI143" s="330" t="str">
        <f t="shared" si="94"/>
        <v/>
      </c>
      <c r="BJ143" s="330" t="str">
        <f t="shared" si="95"/>
        <v/>
      </c>
      <c r="BK143" s="330" t="str">
        <f t="shared" si="82"/>
        <v/>
      </c>
      <c r="BL143" s="330" t="str">
        <f t="shared" si="83"/>
        <v/>
      </c>
      <c r="BM143" s="330" t="str">
        <f t="shared" si="96"/>
        <v/>
      </c>
      <c r="BN143" s="330" t="str">
        <f t="shared" si="100"/>
        <v/>
      </c>
      <c r="BO143" s="330">
        <f t="shared" si="84"/>
        <v>0</v>
      </c>
      <c r="BP143" s="330">
        <f t="shared" si="85"/>
        <v>0</v>
      </c>
      <c r="BQ143" s="330">
        <f t="shared" si="86"/>
        <v>0</v>
      </c>
      <c r="BR143" s="330" t="str">
        <f t="shared" si="87"/>
        <v/>
      </c>
      <c r="BS143" s="432" t="str">
        <f t="shared" si="97"/>
        <v/>
      </c>
    </row>
    <row r="144" spans="1:71">
      <c r="A144" s="592"/>
      <c r="B144" s="592"/>
      <c r="C144" s="592"/>
      <c r="D144" s="592"/>
      <c r="E144" s="592"/>
      <c r="F144" s="592"/>
      <c r="G144" s="592"/>
      <c r="H144" s="592"/>
      <c r="I144" s="592"/>
      <c r="J144" s="592"/>
      <c r="Q144" s="18"/>
      <c r="R144" s="18"/>
      <c r="S144" s="18"/>
      <c r="T144" s="18"/>
      <c r="U144" s="18"/>
      <c r="V144" s="18"/>
      <c r="W144" s="18"/>
      <c r="X144" s="18"/>
      <c r="Y144" s="18"/>
      <c r="Z144" s="18"/>
      <c r="AA144" s="18"/>
      <c r="AB144" s="18"/>
      <c r="AC144" s="18"/>
      <c r="AD144" s="18"/>
      <c r="AE144" s="18"/>
      <c r="AI144" s="364">
        <v>99</v>
      </c>
      <c r="AJ144" s="330">
        <f t="shared" si="65"/>
        <v>0</v>
      </c>
      <c r="AK144" s="344" t="str">
        <f t="shared" si="66"/>
        <v>None</v>
      </c>
      <c r="AL144" s="330">
        <f t="shared" si="101"/>
        <v>0</v>
      </c>
      <c r="AM144" s="336">
        <f t="shared" si="98"/>
        <v>0</v>
      </c>
      <c r="AN144" s="330">
        <f t="shared" si="102"/>
        <v>0</v>
      </c>
      <c r="AO144" s="437">
        <f t="shared" si="99"/>
        <v>0</v>
      </c>
      <c r="AP144" s="348" t="b">
        <f t="shared" si="67"/>
        <v>0</v>
      </c>
      <c r="AQ144" s="348">
        <f t="shared" si="68"/>
        <v>0</v>
      </c>
      <c r="AR144" s="348">
        <f t="shared" si="69"/>
        <v>0</v>
      </c>
      <c r="AS144" s="348">
        <f t="shared" si="70"/>
        <v>0</v>
      </c>
      <c r="AT144" s="348" t="str">
        <f t="shared" si="90"/>
        <v/>
      </c>
      <c r="AU144" s="348" t="str">
        <f t="shared" si="91"/>
        <v/>
      </c>
      <c r="AV144" s="348">
        <f t="shared" si="92"/>
        <v>0</v>
      </c>
      <c r="AW144" s="348">
        <f t="shared" si="71"/>
        <v>0</v>
      </c>
      <c r="AX144" s="348">
        <f t="shared" si="72"/>
        <v>0</v>
      </c>
      <c r="AY144" s="330">
        <f t="shared" si="73"/>
        <v>0</v>
      </c>
      <c r="AZ144" s="330">
        <f t="shared" si="74"/>
        <v>0</v>
      </c>
      <c r="BA144" s="330">
        <f t="shared" si="75"/>
        <v>0</v>
      </c>
      <c r="BB144" s="330">
        <f t="shared" si="76"/>
        <v>0</v>
      </c>
      <c r="BC144" s="330">
        <f t="shared" si="77"/>
        <v>0</v>
      </c>
      <c r="BD144" s="330">
        <f t="shared" si="78"/>
        <v>0</v>
      </c>
      <c r="BE144" s="330">
        <f t="shared" si="93"/>
        <v>0</v>
      </c>
      <c r="BF144" s="330">
        <f t="shared" si="79"/>
        <v>0</v>
      </c>
      <c r="BG144" s="330">
        <f t="shared" si="80"/>
        <v>0</v>
      </c>
      <c r="BH144" s="330" t="str">
        <f t="shared" si="81"/>
        <v/>
      </c>
      <c r="BI144" s="330" t="str">
        <f t="shared" si="94"/>
        <v/>
      </c>
      <c r="BJ144" s="330" t="str">
        <f t="shared" si="95"/>
        <v/>
      </c>
      <c r="BK144" s="330" t="str">
        <f t="shared" si="82"/>
        <v/>
      </c>
      <c r="BL144" s="330" t="str">
        <f t="shared" si="83"/>
        <v/>
      </c>
      <c r="BM144" s="330" t="str">
        <f t="shared" si="96"/>
        <v/>
      </c>
      <c r="BN144" s="330" t="str">
        <f t="shared" si="100"/>
        <v/>
      </c>
      <c r="BO144" s="330">
        <f t="shared" si="84"/>
        <v>0</v>
      </c>
      <c r="BP144" s="330">
        <f t="shared" si="85"/>
        <v>0</v>
      </c>
      <c r="BQ144" s="330">
        <f t="shared" si="86"/>
        <v>0</v>
      </c>
      <c r="BR144" s="330" t="str">
        <f t="shared" si="87"/>
        <v/>
      </c>
      <c r="BS144" s="432" t="str">
        <f t="shared" si="97"/>
        <v/>
      </c>
    </row>
    <row r="145" spans="1:71">
      <c r="A145" s="592"/>
      <c r="B145" s="592"/>
      <c r="C145" s="592"/>
      <c r="D145" s="592"/>
      <c r="E145" s="592"/>
      <c r="F145" s="592"/>
      <c r="G145" s="592"/>
      <c r="H145" s="592"/>
      <c r="I145" s="592"/>
      <c r="J145" s="592"/>
      <c r="Q145" s="18"/>
      <c r="R145" s="18"/>
      <c r="S145" s="18"/>
      <c r="T145" s="18"/>
      <c r="U145" s="18"/>
      <c r="V145" s="18"/>
      <c r="W145" s="18"/>
      <c r="X145" s="18"/>
      <c r="Y145" s="18"/>
      <c r="Z145" s="18"/>
      <c r="AA145" s="18"/>
      <c r="AB145" s="18"/>
      <c r="AC145" s="18"/>
      <c r="AD145" s="18"/>
      <c r="AE145" s="18"/>
      <c r="AI145" s="364">
        <v>100</v>
      </c>
      <c r="AJ145" s="330">
        <f t="shared" si="65"/>
        <v>0</v>
      </c>
      <c r="AK145" s="344" t="str">
        <f t="shared" si="66"/>
        <v>None</v>
      </c>
      <c r="AL145" s="330">
        <f t="shared" si="101"/>
        <v>0</v>
      </c>
      <c r="AM145" s="336">
        <f t="shared" si="98"/>
        <v>0</v>
      </c>
      <c r="AN145" s="330">
        <f t="shared" si="102"/>
        <v>0</v>
      </c>
      <c r="AO145" s="437">
        <f t="shared" si="99"/>
        <v>0</v>
      </c>
      <c r="AP145" s="348" t="b">
        <f t="shared" si="67"/>
        <v>0</v>
      </c>
      <c r="AQ145" s="348">
        <f t="shared" si="68"/>
        <v>0</v>
      </c>
      <c r="AR145" s="348">
        <f t="shared" si="69"/>
        <v>0</v>
      </c>
      <c r="AS145" s="348">
        <f t="shared" si="70"/>
        <v>0</v>
      </c>
      <c r="AT145" s="348" t="str">
        <f t="shared" si="90"/>
        <v/>
      </c>
      <c r="AU145" s="348" t="str">
        <f t="shared" si="91"/>
        <v/>
      </c>
      <c r="AV145" s="348">
        <f t="shared" si="92"/>
        <v>0</v>
      </c>
      <c r="AW145" s="348">
        <f t="shared" si="71"/>
        <v>0</v>
      </c>
      <c r="AX145" s="348">
        <f t="shared" si="72"/>
        <v>0</v>
      </c>
      <c r="AY145" s="330">
        <f t="shared" si="73"/>
        <v>0</v>
      </c>
      <c r="AZ145" s="330">
        <f t="shared" si="74"/>
        <v>0</v>
      </c>
      <c r="BA145" s="330">
        <f t="shared" si="75"/>
        <v>0</v>
      </c>
      <c r="BB145" s="330">
        <f t="shared" si="76"/>
        <v>0</v>
      </c>
      <c r="BC145" s="330">
        <f t="shared" si="77"/>
        <v>0</v>
      </c>
      <c r="BD145" s="330">
        <f t="shared" si="78"/>
        <v>0</v>
      </c>
      <c r="BE145" s="330">
        <f t="shared" si="93"/>
        <v>0</v>
      </c>
      <c r="BF145" s="330">
        <f t="shared" si="79"/>
        <v>0</v>
      </c>
      <c r="BG145" s="330">
        <f t="shared" si="80"/>
        <v>0</v>
      </c>
      <c r="BH145" s="330" t="str">
        <f t="shared" si="81"/>
        <v/>
      </c>
      <c r="BI145" s="330" t="str">
        <f t="shared" si="94"/>
        <v/>
      </c>
      <c r="BJ145" s="330" t="str">
        <f t="shared" si="95"/>
        <v/>
      </c>
      <c r="BK145" s="330" t="str">
        <f t="shared" si="82"/>
        <v/>
      </c>
      <c r="BL145" s="330" t="str">
        <f t="shared" si="83"/>
        <v/>
      </c>
      <c r="BM145" s="330" t="str">
        <f t="shared" si="96"/>
        <v/>
      </c>
      <c r="BN145" s="330" t="str">
        <f t="shared" si="100"/>
        <v/>
      </c>
      <c r="BO145" s="330">
        <f t="shared" si="84"/>
        <v>0</v>
      </c>
      <c r="BP145" s="330">
        <f t="shared" si="85"/>
        <v>0</v>
      </c>
      <c r="BQ145" s="330">
        <f t="shared" si="86"/>
        <v>0</v>
      </c>
      <c r="BR145" s="330" t="str">
        <f t="shared" si="87"/>
        <v/>
      </c>
      <c r="BS145" s="432" t="str">
        <f t="shared" si="97"/>
        <v/>
      </c>
    </row>
    <row r="146" spans="1:71">
      <c r="A146" s="592"/>
      <c r="B146" s="592"/>
      <c r="C146" s="592"/>
      <c r="D146" s="592"/>
      <c r="E146" s="592"/>
      <c r="F146" s="592"/>
      <c r="G146" s="592"/>
      <c r="H146" s="592"/>
      <c r="I146" s="592"/>
      <c r="J146" s="592"/>
      <c r="Q146" s="18"/>
      <c r="R146" s="18"/>
      <c r="S146" s="18"/>
      <c r="T146" s="18"/>
      <c r="U146" s="18"/>
      <c r="V146" s="18"/>
      <c r="W146" s="18"/>
      <c r="X146" s="18"/>
      <c r="Y146" s="18"/>
      <c r="Z146" s="18"/>
      <c r="AA146" s="18"/>
      <c r="AB146" s="18"/>
      <c r="AC146" s="18"/>
      <c r="AD146" s="18"/>
      <c r="AE146" s="18"/>
      <c r="AI146" s="364">
        <v>101</v>
      </c>
      <c r="AJ146" s="330">
        <f t="shared" si="65"/>
        <v>0</v>
      </c>
      <c r="AK146" s="344" t="str">
        <f t="shared" si="66"/>
        <v>None</v>
      </c>
      <c r="AL146" s="330">
        <f t="shared" si="101"/>
        <v>0</v>
      </c>
      <c r="AM146" s="336">
        <f t="shared" si="98"/>
        <v>0</v>
      </c>
      <c r="AN146" s="330">
        <f t="shared" si="102"/>
        <v>0</v>
      </c>
      <c r="AO146" s="437">
        <f t="shared" si="99"/>
        <v>0</v>
      </c>
      <c r="AP146" s="348" t="b">
        <f t="shared" si="67"/>
        <v>0</v>
      </c>
      <c r="AQ146" s="348">
        <f t="shared" si="68"/>
        <v>0</v>
      </c>
      <c r="AR146" s="348">
        <f t="shared" si="69"/>
        <v>0</v>
      </c>
      <c r="AS146" s="348">
        <f t="shared" si="70"/>
        <v>0</v>
      </c>
      <c r="AT146" s="348" t="str">
        <f t="shared" si="90"/>
        <v/>
      </c>
      <c r="AU146" s="348" t="str">
        <f t="shared" si="91"/>
        <v/>
      </c>
      <c r="AV146" s="348">
        <f t="shared" si="92"/>
        <v>0</v>
      </c>
      <c r="AW146" s="348">
        <f t="shared" si="71"/>
        <v>0</v>
      </c>
      <c r="AX146" s="348">
        <f t="shared" si="72"/>
        <v>0</v>
      </c>
      <c r="AY146" s="330">
        <f t="shared" si="73"/>
        <v>0</v>
      </c>
      <c r="AZ146" s="330">
        <f t="shared" si="74"/>
        <v>0</v>
      </c>
      <c r="BA146" s="330">
        <f t="shared" si="75"/>
        <v>0</v>
      </c>
      <c r="BB146" s="330">
        <f t="shared" si="76"/>
        <v>0</v>
      </c>
      <c r="BC146" s="330">
        <f t="shared" si="77"/>
        <v>0</v>
      </c>
      <c r="BD146" s="330">
        <f t="shared" si="78"/>
        <v>0</v>
      </c>
      <c r="BE146" s="330">
        <f t="shared" si="93"/>
        <v>0</v>
      </c>
      <c r="BF146" s="330">
        <f t="shared" si="79"/>
        <v>0</v>
      </c>
      <c r="BG146" s="330">
        <f t="shared" si="80"/>
        <v>0</v>
      </c>
      <c r="BH146" s="330" t="str">
        <f t="shared" si="81"/>
        <v/>
      </c>
      <c r="BI146" s="330" t="str">
        <f t="shared" si="94"/>
        <v/>
      </c>
      <c r="BJ146" s="330" t="str">
        <f t="shared" si="95"/>
        <v/>
      </c>
      <c r="BK146" s="330" t="str">
        <f t="shared" si="82"/>
        <v/>
      </c>
      <c r="BL146" s="330" t="str">
        <f t="shared" si="83"/>
        <v/>
      </c>
      <c r="BM146" s="330" t="str">
        <f t="shared" si="96"/>
        <v/>
      </c>
      <c r="BN146" s="330" t="str">
        <f t="shared" si="100"/>
        <v/>
      </c>
      <c r="BO146" s="330">
        <f t="shared" si="84"/>
        <v>0</v>
      </c>
      <c r="BP146" s="330">
        <f t="shared" si="85"/>
        <v>0</v>
      </c>
      <c r="BQ146" s="330">
        <f t="shared" si="86"/>
        <v>0</v>
      </c>
      <c r="BR146" s="330" t="str">
        <f t="shared" si="87"/>
        <v/>
      </c>
      <c r="BS146" s="432" t="str">
        <f t="shared" si="97"/>
        <v/>
      </c>
    </row>
    <row r="147" spans="1:71">
      <c r="A147" s="592"/>
      <c r="B147" s="592"/>
      <c r="C147" s="592"/>
      <c r="D147" s="592"/>
      <c r="E147" s="592"/>
      <c r="F147" s="592"/>
      <c r="G147" s="592"/>
      <c r="H147" s="592"/>
      <c r="I147" s="592"/>
      <c r="J147" s="592"/>
      <c r="Q147" s="18"/>
      <c r="R147" s="18"/>
      <c r="S147" s="18"/>
      <c r="T147" s="18"/>
      <c r="U147" s="18"/>
      <c r="V147" s="18"/>
      <c r="W147" s="18"/>
      <c r="X147" s="18"/>
      <c r="Y147" s="18"/>
      <c r="Z147" s="18"/>
      <c r="AA147" s="18"/>
      <c r="AB147" s="18"/>
      <c r="AC147" s="18"/>
      <c r="AD147" s="18"/>
      <c r="AE147" s="18"/>
      <c r="AI147" s="364">
        <v>102</v>
      </c>
      <c r="AJ147" s="330">
        <f t="shared" si="65"/>
        <v>0</v>
      </c>
      <c r="AK147" s="344" t="str">
        <f t="shared" si="66"/>
        <v>None</v>
      </c>
      <c r="AL147" s="330">
        <f t="shared" si="101"/>
        <v>0</v>
      </c>
      <c r="AM147" s="336">
        <f t="shared" si="98"/>
        <v>0</v>
      </c>
      <c r="AN147" s="330">
        <f t="shared" si="102"/>
        <v>0</v>
      </c>
      <c r="AO147" s="437">
        <f t="shared" si="99"/>
        <v>0</v>
      </c>
      <c r="AP147" s="348" t="b">
        <f t="shared" si="67"/>
        <v>0</v>
      </c>
      <c r="AQ147" s="348">
        <f t="shared" si="68"/>
        <v>0</v>
      </c>
      <c r="AR147" s="348">
        <f t="shared" si="69"/>
        <v>0</v>
      </c>
      <c r="AS147" s="348">
        <f t="shared" si="70"/>
        <v>0</v>
      </c>
      <c r="AT147" s="348" t="str">
        <f t="shared" si="90"/>
        <v/>
      </c>
      <c r="AU147" s="348" t="str">
        <f t="shared" si="91"/>
        <v/>
      </c>
      <c r="AV147" s="348">
        <f t="shared" si="92"/>
        <v>0</v>
      </c>
      <c r="AW147" s="348">
        <f t="shared" si="71"/>
        <v>0</v>
      </c>
      <c r="AX147" s="348">
        <f t="shared" si="72"/>
        <v>0</v>
      </c>
      <c r="AY147" s="330">
        <f t="shared" si="73"/>
        <v>0</v>
      </c>
      <c r="AZ147" s="330">
        <f t="shared" si="74"/>
        <v>0</v>
      </c>
      <c r="BA147" s="330">
        <f t="shared" si="75"/>
        <v>0</v>
      </c>
      <c r="BB147" s="330">
        <f t="shared" si="76"/>
        <v>0</v>
      </c>
      <c r="BC147" s="330">
        <f t="shared" si="77"/>
        <v>0</v>
      </c>
      <c r="BD147" s="330">
        <f t="shared" si="78"/>
        <v>0</v>
      </c>
      <c r="BE147" s="330">
        <f t="shared" si="93"/>
        <v>0</v>
      </c>
      <c r="BF147" s="330">
        <f t="shared" si="79"/>
        <v>0</v>
      </c>
      <c r="BG147" s="330">
        <f t="shared" si="80"/>
        <v>0</v>
      </c>
      <c r="BH147" s="330" t="str">
        <f t="shared" si="81"/>
        <v/>
      </c>
      <c r="BI147" s="330" t="str">
        <f t="shared" si="94"/>
        <v/>
      </c>
      <c r="BJ147" s="330" t="str">
        <f t="shared" si="95"/>
        <v/>
      </c>
      <c r="BK147" s="330" t="str">
        <f t="shared" si="82"/>
        <v/>
      </c>
      <c r="BL147" s="330" t="str">
        <f t="shared" si="83"/>
        <v/>
      </c>
      <c r="BM147" s="330" t="str">
        <f t="shared" si="96"/>
        <v/>
      </c>
      <c r="BN147" s="330" t="str">
        <f t="shared" si="100"/>
        <v/>
      </c>
      <c r="BO147" s="330">
        <f t="shared" si="84"/>
        <v>0</v>
      </c>
      <c r="BP147" s="330">
        <f t="shared" si="85"/>
        <v>0</v>
      </c>
      <c r="BQ147" s="330">
        <f t="shared" si="86"/>
        <v>0</v>
      </c>
      <c r="BR147" s="330" t="str">
        <f t="shared" si="87"/>
        <v/>
      </c>
      <c r="BS147" s="432" t="str">
        <f t="shared" si="97"/>
        <v/>
      </c>
    </row>
    <row r="148" spans="1:71">
      <c r="A148" s="592"/>
      <c r="B148" s="592"/>
      <c r="C148" s="592"/>
      <c r="D148" s="592"/>
      <c r="E148" s="592"/>
      <c r="F148" s="592"/>
      <c r="G148" s="592"/>
      <c r="H148" s="592"/>
      <c r="I148" s="592"/>
      <c r="J148" s="592"/>
      <c r="Q148" s="18"/>
      <c r="R148" s="18"/>
      <c r="S148" s="18"/>
      <c r="T148" s="18"/>
      <c r="U148" s="18"/>
      <c r="V148" s="18"/>
      <c r="W148" s="18"/>
      <c r="X148" s="18"/>
      <c r="Y148" s="18"/>
      <c r="Z148" s="18"/>
      <c r="AA148" s="18"/>
      <c r="AB148" s="18"/>
      <c r="AC148" s="18"/>
      <c r="AD148" s="18"/>
      <c r="AE148" s="18"/>
      <c r="AI148" s="364">
        <v>103</v>
      </c>
      <c r="AJ148" s="330">
        <f t="shared" si="65"/>
        <v>0</v>
      </c>
      <c r="AK148" s="344" t="str">
        <f t="shared" si="66"/>
        <v>None</v>
      </c>
      <c r="AL148" s="330">
        <f t="shared" si="101"/>
        <v>0</v>
      </c>
      <c r="AM148" s="336">
        <f t="shared" si="98"/>
        <v>0</v>
      </c>
      <c r="AN148" s="330">
        <f t="shared" si="102"/>
        <v>0</v>
      </c>
      <c r="AO148" s="437">
        <f t="shared" si="99"/>
        <v>0</v>
      </c>
      <c r="AP148" s="348" t="b">
        <f t="shared" si="67"/>
        <v>0</v>
      </c>
      <c r="AQ148" s="348">
        <f t="shared" si="68"/>
        <v>0</v>
      </c>
      <c r="AR148" s="348">
        <f t="shared" si="69"/>
        <v>0</v>
      </c>
      <c r="AS148" s="348">
        <f t="shared" si="70"/>
        <v>0</v>
      </c>
      <c r="AT148" s="348" t="str">
        <f t="shared" si="90"/>
        <v/>
      </c>
      <c r="AU148" s="348" t="str">
        <f t="shared" si="91"/>
        <v/>
      </c>
      <c r="AV148" s="348">
        <f t="shared" si="92"/>
        <v>0</v>
      </c>
      <c r="AW148" s="348">
        <f t="shared" si="71"/>
        <v>0</v>
      </c>
      <c r="AX148" s="348">
        <f t="shared" si="72"/>
        <v>0</v>
      </c>
      <c r="AY148" s="330">
        <f t="shared" si="73"/>
        <v>0</v>
      </c>
      <c r="AZ148" s="330">
        <f t="shared" si="74"/>
        <v>0</v>
      </c>
      <c r="BA148" s="330">
        <f t="shared" si="75"/>
        <v>0</v>
      </c>
      <c r="BB148" s="330">
        <f t="shared" si="76"/>
        <v>0</v>
      </c>
      <c r="BC148" s="330">
        <f t="shared" si="77"/>
        <v>0</v>
      </c>
      <c r="BD148" s="330">
        <f t="shared" si="78"/>
        <v>0</v>
      </c>
      <c r="BE148" s="330">
        <f t="shared" si="93"/>
        <v>0</v>
      </c>
      <c r="BF148" s="330">
        <f t="shared" si="79"/>
        <v>0</v>
      </c>
      <c r="BG148" s="330">
        <f t="shared" si="80"/>
        <v>0</v>
      </c>
      <c r="BH148" s="330" t="str">
        <f t="shared" si="81"/>
        <v/>
      </c>
      <c r="BI148" s="330" t="str">
        <f t="shared" si="94"/>
        <v/>
      </c>
      <c r="BJ148" s="330" t="str">
        <f t="shared" si="95"/>
        <v/>
      </c>
      <c r="BK148" s="330" t="str">
        <f t="shared" si="82"/>
        <v/>
      </c>
      <c r="BL148" s="330" t="str">
        <f t="shared" si="83"/>
        <v/>
      </c>
      <c r="BM148" s="330" t="str">
        <f t="shared" si="96"/>
        <v/>
      </c>
      <c r="BN148" s="330" t="str">
        <f t="shared" si="100"/>
        <v/>
      </c>
      <c r="BO148" s="330">
        <f t="shared" si="84"/>
        <v>0</v>
      </c>
      <c r="BP148" s="330">
        <f t="shared" si="85"/>
        <v>0</v>
      </c>
      <c r="BQ148" s="330">
        <f t="shared" si="86"/>
        <v>0</v>
      </c>
      <c r="BR148" s="330" t="str">
        <f t="shared" si="87"/>
        <v/>
      </c>
      <c r="BS148" s="432" t="str">
        <f t="shared" si="97"/>
        <v/>
      </c>
    </row>
    <row r="149" spans="1:71">
      <c r="A149" s="592"/>
      <c r="B149" s="592"/>
      <c r="C149" s="592"/>
      <c r="D149" s="592"/>
      <c r="E149" s="592"/>
      <c r="F149" s="592"/>
      <c r="G149" s="592"/>
      <c r="H149" s="592"/>
      <c r="I149" s="592"/>
      <c r="J149" s="592"/>
      <c r="Q149" s="18"/>
      <c r="R149" s="18"/>
      <c r="S149" s="18"/>
      <c r="T149" s="18"/>
      <c r="U149" s="18"/>
      <c r="V149" s="18"/>
      <c r="W149" s="18"/>
      <c r="X149" s="18"/>
      <c r="Y149" s="18"/>
      <c r="Z149" s="18"/>
      <c r="AA149" s="18"/>
      <c r="AB149" s="18"/>
      <c r="AC149" s="18"/>
      <c r="AD149" s="18"/>
      <c r="AE149" s="18"/>
      <c r="AI149" s="364">
        <v>104</v>
      </c>
      <c r="AJ149" s="330">
        <f t="shared" si="65"/>
        <v>0</v>
      </c>
      <c r="AK149" s="344" t="str">
        <f t="shared" si="66"/>
        <v>None</v>
      </c>
      <c r="AL149" s="330">
        <f t="shared" si="101"/>
        <v>0</v>
      </c>
      <c r="AM149" s="336">
        <f t="shared" si="98"/>
        <v>0</v>
      </c>
      <c r="AN149" s="330">
        <f t="shared" si="102"/>
        <v>0</v>
      </c>
      <c r="AO149" s="437">
        <f t="shared" si="99"/>
        <v>0</v>
      </c>
      <c r="AP149" s="348" t="b">
        <f t="shared" si="67"/>
        <v>0</v>
      </c>
      <c r="AQ149" s="348">
        <f t="shared" si="68"/>
        <v>0</v>
      </c>
      <c r="AR149" s="348">
        <f t="shared" si="69"/>
        <v>0</v>
      </c>
      <c r="AS149" s="348">
        <f t="shared" si="70"/>
        <v>0</v>
      </c>
      <c r="AT149" s="348" t="str">
        <f t="shared" si="90"/>
        <v/>
      </c>
      <c r="AU149" s="348" t="str">
        <f t="shared" si="91"/>
        <v/>
      </c>
      <c r="AV149" s="348">
        <f t="shared" si="92"/>
        <v>0</v>
      </c>
      <c r="AW149" s="348">
        <f t="shared" si="71"/>
        <v>0</v>
      </c>
      <c r="AX149" s="348">
        <f t="shared" si="72"/>
        <v>0</v>
      </c>
      <c r="AY149" s="330">
        <f t="shared" si="73"/>
        <v>0</v>
      </c>
      <c r="AZ149" s="330">
        <f t="shared" si="74"/>
        <v>0</v>
      </c>
      <c r="BA149" s="330">
        <f t="shared" si="75"/>
        <v>0</v>
      </c>
      <c r="BB149" s="330">
        <f t="shared" si="76"/>
        <v>0</v>
      </c>
      <c r="BC149" s="330">
        <f t="shared" si="77"/>
        <v>0</v>
      </c>
      <c r="BD149" s="330">
        <f t="shared" si="78"/>
        <v>0</v>
      </c>
      <c r="BE149" s="330">
        <f t="shared" si="93"/>
        <v>0</v>
      </c>
      <c r="BF149" s="330">
        <f t="shared" si="79"/>
        <v>0</v>
      </c>
      <c r="BG149" s="330">
        <f t="shared" si="80"/>
        <v>0</v>
      </c>
      <c r="BH149" s="330" t="str">
        <f t="shared" si="81"/>
        <v/>
      </c>
      <c r="BI149" s="330" t="str">
        <f t="shared" si="94"/>
        <v/>
      </c>
      <c r="BJ149" s="330" t="str">
        <f t="shared" si="95"/>
        <v/>
      </c>
      <c r="BK149" s="330" t="str">
        <f t="shared" si="82"/>
        <v/>
      </c>
      <c r="BL149" s="330" t="str">
        <f t="shared" si="83"/>
        <v/>
      </c>
      <c r="BM149" s="330" t="str">
        <f t="shared" si="96"/>
        <v/>
      </c>
      <c r="BN149" s="330" t="str">
        <f t="shared" si="100"/>
        <v/>
      </c>
      <c r="BO149" s="330">
        <f t="shared" si="84"/>
        <v>0</v>
      </c>
      <c r="BP149" s="330">
        <f t="shared" si="85"/>
        <v>0</v>
      </c>
      <c r="BQ149" s="330">
        <f t="shared" si="86"/>
        <v>0</v>
      </c>
      <c r="BR149" s="330" t="str">
        <f t="shared" si="87"/>
        <v/>
      </c>
      <c r="BS149" s="432" t="str">
        <f t="shared" si="97"/>
        <v/>
      </c>
    </row>
    <row r="150" spans="1:71">
      <c r="A150" s="592"/>
      <c r="B150" s="592"/>
      <c r="C150" s="592"/>
      <c r="D150" s="592"/>
      <c r="E150" s="592"/>
      <c r="F150" s="592"/>
      <c r="G150" s="592"/>
      <c r="H150" s="592"/>
      <c r="I150" s="592"/>
      <c r="J150" s="592"/>
      <c r="Q150" s="18"/>
      <c r="R150" s="18"/>
      <c r="S150" s="18"/>
      <c r="T150" s="18"/>
      <c r="U150" s="18"/>
      <c r="V150" s="18"/>
      <c r="W150" s="18"/>
      <c r="X150" s="18"/>
      <c r="Y150" s="18"/>
      <c r="Z150" s="18"/>
      <c r="AA150" s="18"/>
      <c r="AB150" s="18"/>
      <c r="AC150" s="18"/>
      <c r="AD150" s="18"/>
      <c r="AE150" s="18"/>
      <c r="AI150" s="364">
        <v>105</v>
      </c>
      <c r="AJ150" s="330">
        <f t="shared" si="65"/>
        <v>0</v>
      </c>
      <c r="AK150" s="344" t="str">
        <f t="shared" si="66"/>
        <v>None</v>
      </c>
      <c r="AL150" s="330">
        <f t="shared" si="101"/>
        <v>0</v>
      </c>
      <c r="AM150" s="336">
        <f t="shared" si="98"/>
        <v>0</v>
      </c>
      <c r="AN150" s="330">
        <f t="shared" si="102"/>
        <v>0</v>
      </c>
      <c r="AO150" s="437">
        <f t="shared" si="99"/>
        <v>0</v>
      </c>
      <c r="AP150" s="348" t="b">
        <f t="shared" si="67"/>
        <v>0</v>
      </c>
      <c r="AQ150" s="348">
        <f t="shared" si="68"/>
        <v>0</v>
      </c>
      <c r="AR150" s="348">
        <f t="shared" si="69"/>
        <v>0</v>
      </c>
      <c r="AS150" s="348">
        <f t="shared" si="70"/>
        <v>0</v>
      </c>
      <c r="AT150" s="348" t="str">
        <f t="shared" si="90"/>
        <v/>
      </c>
      <c r="AU150" s="348" t="str">
        <f t="shared" si="91"/>
        <v/>
      </c>
      <c r="AV150" s="348">
        <f t="shared" si="92"/>
        <v>0</v>
      </c>
      <c r="AW150" s="348">
        <f t="shared" si="71"/>
        <v>0</v>
      </c>
      <c r="AX150" s="348">
        <f t="shared" si="72"/>
        <v>0</v>
      </c>
      <c r="AY150" s="330">
        <f t="shared" si="73"/>
        <v>0</v>
      </c>
      <c r="AZ150" s="330">
        <f t="shared" si="74"/>
        <v>0</v>
      </c>
      <c r="BA150" s="330">
        <f t="shared" si="75"/>
        <v>0</v>
      </c>
      <c r="BB150" s="330">
        <f t="shared" si="76"/>
        <v>0</v>
      </c>
      <c r="BC150" s="330">
        <f t="shared" si="77"/>
        <v>0</v>
      </c>
      <c r="BD150" s="330">
        <f t="shared" si="78"/>
        <v>0</v>
      </c>
      <c r="BE150" s="330">
        <f t="shared" si="93"/>
        <v>0</v>
      </c>
      <c r="BF150" s="330">
        <f t="shared" si="79"/>
        <v>0</v>
      </c>
      <c r="BG150" s="330">
        <f t="shared" si="80"/>
        <v>0</v>
      </c>
      <c r="BH150" s="330" t="str">
        <f t="shared" si="81"/>
        <v/>
      </c>
      <c r="BI150" s="330" t="str">
        <f t="shared" si="94"/>
        <v/>
      </c>
      <c r="BJ150" s="330" t="str">
        <f t="shared" si="95"/>
        <v/>
      </c>
      <c r="BK150" s="330" t="str">
        <f t="shared" si="82"/>
        <v/>
      </c>
      <c r="BL150" s="330" t="str">
        <f t="shared" si="83"/>
        <v/>
      </c>
      <c r="BM150" s="330" t="str">
        <f t="shared" si="96"/>
        <v/>
      </c>
      <c r="BN150" s="330" t="str">
        <f t="shared" si="100"/>
        <v/>
      </c>
      <c r="BO150" s="330">
        <f t="shared" si="84"/>
        <v>0</v>
      </c>
      <c r="BP150" s="330">
        <f t="shared" si="85"/>
        <v>0</v>
      </c>
      <c r="BQ150" s="330">
        <f t="shared" si="86"/>
        <v>0</v>
      </c>
      <c r="BR150" s="330" t="str">
        <f t="shared" si="87"/>
        <v/>
      </c>
      <c r="BS150" s="432" t="str">
        <f t="shared" si="97"/>
        <v/>
      </c>
    </row>
    <row r="151" spans="1:71">
      <c r="A151" s="592"/>
      <c r="B151" s="592"/>
      <c r="C151" s="592"/>
      <c r="D151" s="592"/>
      <c r="E151" s="592"/>
      <c r="F151" s="592"/>
      <c r="G151" s="592"/>
      <c r="H151" s="592"/>
      <c r="I151" s="592"/>
      <c r="J151" s="592"/>
      <c r="Q151" s="18"/>
      <c r="R151" s="18"/>
      <c r="S151" s="18"/>
      <c r="T151" s="18"/>
      <c r="U151" s="18"/>
      <c r="V151" s="18"/>
      <c r="W151" s="18"/>
      <c r="X151" s="18"/>
      <c r="Y151" s="18"/>
      <c r="Z151" s="18"/>
      <c r="AA151" s="18"/>
      <c r="AB151" s="18"/>
      <c r="AC151" s="18"/>
      <c r="AD151" s="18"/>
      <c r="AE151" s="18"/>
      <c r="AI151" s="364">
        <v>106</v>
      </c>
      <c r="AJ151" s="330">
        <f t="shared" si="65"/>
        <v>0</v>
      </c>
      <c r="AK151" s="344" t="str">
        <f t="shared" si="66"/>
        <v>None</v>
      </c>
      <c r="AL151" s="330">
        <f t="shared" si="101"/>
        <v>0</v>
      </c>
      <c r="AM151" s="336">
        <f t="shared" si="98"/>
        <v>0</v>
      </c>
      <c r="AN151" s="330">
        <f t="shared" si="102"/>
        <v>0</v>
      </c>
      <c r="AO151" s="437">
        <f t="shared" si="99"/>
        <v>0</v>
      </c>
      <c r="AP151" s="348" t="b">
        <f t="shared" si="67"/>
        <v>0</v>
      </c>
      <c r="AQ151" s="348">
        <f t="shared" si="68"/>
        <v>0</v>
      </c>
      <c r="AR151" s="348">
        <f t="shared" si="69"/>
        <v>0</v>
      </c>
      <c r="AS151" s="348">
        <f t="shared" si="70"/>
        <v>0</v>
      </c>
      <c r="AT151" s="348" t="str">
        <f t="shared" si="90"/>
        <v/>
      </c>
      <c r="AU151" s="348" t="str">
        <f t="shared" si="91"/>
        <v/>
      </c>
      <c r="AV151" s="348">
        <f t="shared" si="92"/>
        <v>0</v>
      </c>
      <c r="AW151" s="348">
        <f t="shared" si="71"/>
        <v>0</v>
      </c>
      <c r="AX151" s="348">
        <f t="shared" si="72"/>
        <v>0</v>
      </c>
      <c r="AY151" s="330">
        <f t="shared" si="73"/>
        <v>0</v>
      </c>
      <c r="AZ151" s="330">
        <f t="shared" si="74"/>
        <v>0</v>
      </c>
      <c r="BA151" s="330">
        <f t="shared" si="75"/>
        <v>0</v>
      </c>
      <c r="BB151" s="330">
        <f t="shared" si="76"/>
        <v>0</v>
      </c>
      <c r="BC151" s="330">
        <f t="shared" si="77"/>
        <v>0</v>
      </c>
      <c r="BD151" s="330">
        <f t="shared" si="78"/>
        <v>0</v>
      </c>
      <c r="BE151" s="330">
        <f t="shared" si="93"/>
        <v>0</v>
      </c>
      <c r="BF151" s="330">
        <f t="shared" si="79"/>
        <v>0</v>
      </c>
      <c r="BG151" s="330">
        <f t="shared" si="80"/>
        <v>0</v>
      </c>
      <c r="BH151" s="330" t="str">
        <f t="shared" si="81"/>
        <v/>
      </c>
      <c r="BI151" s="330" t="str">
        <f t="shared" si="94"/>
        <v/>
      </c>
      <c r="BJ151" s="330" t="str">
        <f t="shared" si="95"/>
        <v/>
      </c>
      <c r="BK151" s="330" t="str">
        <f t="shared" si="82"/>
        <v/>
      </c>
      <c r="BL151" s="330" t="str">
        <f t="shared" si="83"/>
        <v/>
      </c>
      <c r="BM151" s="330" t="str">
        <f t="shared" si="96"/>
        <v/>
      </c>
      <c r="BN151" s="330" t="str">
        <f t="shared" si="100"/>
        <v/>
      </c>
      <c r="BO151" s="330">
        <f t="shared" si="84"/>
        <v>0</v>
      </c>
      <c r="BP151" s="330">
        <f t="shared" si="85"/>
        <v>0</v>
      </c>
      <c r="BQ151" s="330">
        <f t="shared" si="86"/>
        <v>0</v>
      </c>
      <c r="BR151" s="330" t="str">
        <f t="shared" si="87"/>
        <v/>
      </c>
      <c r="BS151" s="432" t="str">
        <f t="shared" si="97"/>
        <v/>
      </c>
    </row>
    <row r="152" spans="1:71">
      <c r="A152" s="592"/>
      <c r="B152" s="592"/>
      <c r="C152" s="592"/>
      <c r="D152" s="592"/>
      <c r="E152" s="592"/>
      <c r="F152" s="592"/>
      <c r="G152" s="592"/>
      <c r="H152" s="592"/>
      <c r="I152" s="592"/>
      <c r="J152" s="592"/>
      <c r="Q152" s="18"/>
      <c r="R152" s="18"/>
      <c r="S152" s="18"/>
      <c r="T152" s="18"/>
      <c r="U152" s="18"/>
      <c r="V152" s="18"/>
      <c r="W152" s="18"/>
      <c r="X152" s="18"/>
      <c r="Y152" s="18"/>
      <c r="Z152" s="18"/>
      <c r="AA152" s="18"/>
      <c r="AB152" s="18"/>
      <c r="AC152" s="18"/>
      <c r="AD152" s="18"/>
      <c r="AE152" s="18"/>
      <c r="AI152" s="364">
        <v>107</v>
      </c>
      <c r="AJ152" s="330">
        <f t="shared" si="65"/>
        <v>0</v>
      </c>
      <c r="AK152" s="344" t="str">
        <f t="shared" si="66"/>
        <v>None</v>
      </c>
      <c r="AL152" s="330">
        <f t="shared" si="101"/>
        <v>0</v>
      </c>
      <c r="AM152" s="336">
        <f t="shared" si="98"/>
        <v>0</v>
      </c>
      <c r="AN152" s="330">
        <f t="shared" si="102"/>
        <v>0</v>
      </c>
      <c r="AO152" s="437">
        <f t="shared" si="99"/>
        <v>0</v>
      </c>
      <c r="AP152" s="348" t="b">
        <f t="shared" si="67"/>
        <v>0</v>
      </c>
      <c r="AQ152" s="348">
        <f t="shared" si="68"/>
        <v>0</v>
      </c>
      <c r="AR152" s="348">
        <f t="shared" si="69"/>
        <v>0</v>
      </c>
      <c r="AS152" s="348">
        <f t="shared" si="70"/>
        <v>0</v>
      </c>
      <c r="AT152" s="348" t="str">
        <f t="shared" si="90"/>
        <v/>
      </c>
      <c r="AU152" s="348" t="str">
        <f t="shared" si="91"/>
        <v/>
      </c>
      <c r="AV152" s="348">
        <f t="shared" si="92"/>
        <v>0</v>
      </c>
      <c r="AW152" s="348">
        <f t="shared" si="71"/>
        <v>0</v>
      </c>
      <c r="AX152" s="348">
        <f t="shared" si="72"/>
        <v>0</v>
      </c>
      <c r="AY152" s="330">
        <f t="shared" si="73"/>
        <v>0</v>
      </c>
      <c r="AZ152" s="330">
        <f t="shared" si="74"/>
        <v>0</v>
      </c>
      <c r="BA152" s="330">
        <f t="shared" si="75"/>
        <v>0</v>
      </c>
      <c r="BB152" s="330">
        <f t="shared" si="76"/>
        <v>0</v>
      </c>
      <c r="BC152" s="330">
        <f t="shared" si="77"/>
        <v>0</v>
      </c>
      <c r="BD152" s="330">
        <f t="shared" si="78"/>
        <v>0</v>
      </c>
      <c r="BE152" s="330">
        <f t="shared" si="93"/>
        <v>0</v>
      </c>
      <c r="BF152" s="330">
        <f t="shared" si="79"/>
        <v>0</v>
      </c>
      <c r="BG152" s="330">
        <f t="shared" si="80"/>
        <v>0</v>
      </c>
      <c r="BH152" s="330" t="str">
        <f t="shared" si="81"/>
        <v/>
      </c>
      <c r="BI152" s="330" t="str">
        <f t="shared" si="94"/>
        <v/>
      </c>
      <c r="BJ152" s="330" t="str">
        <f t="shared" si="95"/>
        <v/>
      </c>
      <c r="BK152" s="330" t="str">
        <f t="shared" si="82"/>
        <v/>
      </c>
      <c r="BL152" s="330" t="str">
        <f t="shared" si="83"/>
        <v/>
      </c>
      <c r="BM152" s="330" t="str">
        <f t="shared" si="96"/>
        <v/>
      </c>
      <c r="BN152" s="330" t="str">
        <f t="shared" si="100"/>
        <v/>
      </c>
      <c r="BO152" s="330">
        <f t="shared" si="84"/>
        <v>0</v>
      </c>
      <c r="BP152" s="330">
        <f t="shared" si="85"/>
        <v>0</v>
      </c>
      <c r="BQ152" s="330">
        <f t="shared" si="86"/>
        <v>0</v>
      </c>
      <c r="BR152" s="330" t="str">
        <f t="shared" si="87"/>
        <v/>
      </c>
      <c r="BS152" s="432" t="str">
        <f t="shared" si="97"/>
        <v/>
      </c>
    </row>
    <row r="153" spans="1:71">
      <c r="A153" s="592"/>
      <c r="B153" s="592"/>
      <c r="C153" s="592"/>
      <c r="D153" s="592"/>
      <c r="E153" s="592"/>
      <c r="F153" s="592"/>
      <c r="G153" s="592"/>
      <c r="H153" s="592"/>
      <c r="I153" s="592"/>
      <c r="J153" s="592"/>
      <c r="Q153" s="18"/>
      <c r="R153" s="18"/>
      <c r="S153" s="18"/>
      <c r="T153" s="18"/>
      <c r="U153" s="18"/>
      <c r="V153" s="18"/>
      <c r="W153" s="18"/>
      <c r="X153" s="18"/>
      <c r="Y153" s="18"/>
      <c r="Z153" s="18"/>
      <c r="AA153" s="18"/>
      <c r="AB153" s="18"/>
      <c r="AC153" s="18"/>
      <c r="AD153" s="18"/>
      <c r="AE153" s="18"/>
      <c r="AI153" s="364">
        <v>108</v>
      </c>
      <c r="AJ153" s="330">
        <f t="shared" si="65"/>
        <v>0</v>
      </c>
      <c r="AK153" s="344" t="str">
        <f t="shared" si="66"/>
        <v>None</v>
      </c>
      <c r="AL153" s="330">
        <f t="shared" si="101"/>
        <v>0</v>
      </c>
      <c r="AM153" s="336">
        <f t="shared" si="98"/>
        <v>0</v>
      </c>
      <c r="AN153" s="330">
        <f t="shared" si="102"/>
        <v>0</v>
      </c>
      <c r="AO153" s="437">
        <f t="shared" si="99"/>
        <v>0</v>
      </c>
      <c r="AP153" s="348" t="b">
        <f t="shared" si="67"/>
        <v>0</v>
      </c>
      <c r="AQ153" s="348">
        <f t="shared" si="68"/>
        <v>0</v>
      </c>
      <c r="AR153" s="348">
        <f t="shared" si="69"/>
        <v>0</v>
      </c>
      <c r="AS153" s="348">
        <f t="shared" si="70"/>
        <v>0</v>
      </c>
      <c r="AT153" s="348" t="str">
        <f t="shared" si="90"/>
        <v/>
      </c>
      <c r="AU153" s="348" t="str">
        <f t="shared" si="91"/>
        <v/>
      </c>
      <c r="AV153" s="348">
        <f t="shared" si="92"/>
        <v>0</v>
      </c>
      <c r="AW153" s="348">
        <f t="shared" si="71"/>
        <v>0</v>
      </c>
      <c r="AX153" s="348">
        <f t="shared" si="72"/>
        <v>0</v>
      </c>
      <c r="AY153" s="330">
        <f t="shared" si="73"/>
        <v>0</v>
      </c>
      <c r="AZ153" s="330">
        <f t="shared" si="74"/>
        <v>0</v>
      </c>
      <c r="BA153" s="330">
        <f t="shared" si="75"/>
        <v>0</v>
      </c>
      <c r="BB153" s="330">
        <f t="shared" si="76"/>
        <v>0</v>
      </c>
      <c r="BC153" s="330">
        <f t="shared" si="77"/>
        <v>0</v>
      </c>
      <c r="BD153" s="330">
        <f t="shared" si="78"/>
        <v>0</v>
      </c>
      <c r="BE153" s="330">
        <f t="shared" si="93"/>
        <v>0</v>
      </c>
      <c r="BF153" s="330">
        <f t="shared" si="79"/>
        <v>0</v>
      </c>
      <c r="BG153" s="330">
        <f t="shared" si="80"/>
        <v>0</v>
      </c>
      <c r="BH153" s="330" t="str">
        <f t="shared" si="81"/>
        <v/>
      </c>
      <c r="BI153" s="330" t="str">
        <f t="shared" si="94"/>
        <v/>
      </c>
      <c r="BJ153" s="330" t="str">
        <f t="shared" si="95"/>
        <v/>
      </c>
      <c r="BK153" s="330" t="str">
        <f t="shared" si="82"/>
        <v/>
      </c>
      <c r="BL153" s="330" t="str">
        <f t="shared" si="83"/>
        <v/>
      </c>
      <c r="BM153" s="330" t="str">
        <f t="shared" si="96"/>
        <v/>
      </c>
      <c r="BN153" s="330" t="str">
        <f t="shared" si="100"/>
        <v/>
      </c>
      <c r="BO153" s="330">
        <f t="shared" si="84"/>
        <v>0</v>
      </c>
      <c r="BP153" s="330">
        <f t="shared" si="85"/>
        <v>0</v>
      </c>
      <c r="BQ153" s="330">
        <f t="shared" si="86"/>
        <v>0</v>
      </c>
      <c r="BR153" s="330" t="str">
        <f t="shared" si="87"/>
        <v/>
      </c>
      <c r="BS153" s="432" t="str">
        <f t="shared" si="97"/>
        <v/>
      </c>
    </row>
    <row r="154" spans="1:71">
      <c r="A154" s="592"/>
      <c r="B154" s="592"/>
      <c r="C154" s="592"/>
      <c r="D154" s="592"/>
      <c r="E154" s="592"/>
      <c r="F154" s="592"/>
      <c r="G154" s="592"/>
      <c r="H154" s="592"/>
      <c r="I154" s="592"/>
      <c r="J154" s="592"/>
      <c r="Q154" s="18"/>
      <c r="R154" s="18"/>
      <c r="S154" s="18"/>
      <c r="T154" s="18"/>
      <c r="U154" s="18"/>
      <c r="V154" s="18"/>
      <c r="W154" s="18"/>
      <c r="X154" s="18"/>
      <c r="Y154" s="18"/>
      <c r="Z154" s="18"/>
      <c r="AA154" s="18"/>
      <c r="AB154" s="18"/>
      <c r="AC154" s="18"/>
      <c r="AD154" s="18"/>
      <c r="AE154" s="18"/>
      <c r="AI154" s="364">
        <v>109</v>
      </c>
      <c r="AJ154" s="330">
        <f t="shared" si="65"/>
        <v>0</v>
      </c>
      <c r="AK154" s="344" t="str">
        <f t="shared" si="66"/>
        <v>None</v>
      </c>
      <c r="AL154" s="330">
        <f t="shared" si="101"/>
        <v>0</v>
      </c>
      <c r="AM154" s="336">
        <f t="shared" si="98"/>
        <v>0</v>
      </c>
      <c r="AN154" s="330">
        <f t="shared" si="102"/>
        <v>0</v>
      </c>
      <c r="AO154" s="437">
        <f t="shared" si="99"/>
        <v>0</v>
      </c>
      <c r="AP154" s="348" t="b">
        <f t="shared" si="67"/>
        <v>0</v>
      </c>
      <c r="AQ154" s="348">
        <f t="shared" si="68"/>
        <v>0</v>
      </c>
      <c r="AR154" s="348">
        <f t="shared" si="69"/>
        <v>0</v>
      </c>
      <c r="AS154" s="348">
        <f t="shared" si="70"/>
        <v>0</v>
      </c>
      <c r="AT154" s="348" t="str">
        <f t="shared" si="90"/>
        <v/>
      </c>
      <c r="AU154" s="348" t="str">
        <f t="shared" si="91"/>
        <v/>
      </c>
      <c r="AV154" s="348">
        <f t="shared" si="92"/>
        <v>0</v>
      </c>
      <c r="AW154" s="348">
        <f t="shared" si="71"/>
        <v>0</v>
      </c>
      <c r="AX154" s="348">
        <f t="shared" si="72"/>
        <v>0</v>
      </c>
      <c r="AY154" s="330">
        <f t="shared" si="73"/>
        <v>0</v>
      </c>
      <c r="AZ154" s="330">
        <f t="shared" si="74"/>
        <v>0</v>
      </c>
      <c r="BA154" s="330">
        <f t="shared" si="75"/>
        <v>0</v>
      </c>
      <c r="BB154" s="330">
        <f t="shared" si="76"/>
        <v>0</v>
      </c>
      <c r="BC154" s="330">
        <f t="shared" si="77"/>
        <v>0</v>
      </c>
      <c r="BD154" s="330">
        <f t="shared" si="78"/>
        <v>0</v>
      </c>
      <c r="BE154" s="330">
        <f t="shared" si="93"/>
        <v>0</v>
      </c>
      <c r="BF154" s="330">
        <f t="shared" si="79"/>
        <v>0</v>
      </c>
      <c r="BG154" s="330">
        <f t="shared" si="80"/>
        <v>0</v>
      </c>
      <c r="BH154" s="330" t="str">
        <f t="shared" si="81"/>
        <v/>
      </c>
      <c r="BI154" s="330" t="str">
        <f t="shared" si="94"/>
        <v/>
      </c>
      <c r="BJ154" s="330" t="str">
        <f t="shared" si="95"/>
        <v/>
      </c>
      <c r="BK154" s="330" t="str">
        <f t="shared" si="82"/>
        <v/>
      </c>
      <c r="BL154" s="330" t="str">
        <f t="shared" si="83"/>
        <v/>
      </c>
      <c r="BM154" s="330" t="str">
        <f t="shared" si="96"/>
        <v/>
      </c>
      <c r="BN154" s="330" t="str">
        <f t="shared" si="100"/>
        <v/>
      </c>
      <c r="BO154" s="330">
        <f t="shared" si="84"/>
        <v>0</v>
      </c>
      <c r="BP154" s="330">
        <f t="shared" si="85"/>
        <v>0</v>
      </c>
      <c r="BQ154" s="330">
        <f t="shared" si="86"/>
        <v>0</v>
      </c>
      <c r="BR154" s="330" t="str">
        <f t="shared" si="87"/>
        <v/>
      </c>
      <c r="BS154" s="432" t="str">
        <f t="shared" si="97"/>
        <v/>
      </c>
    </row>
    <row r="155" spans="1:71">
      <c r="A155" s="592"/>
      <c r="B155" s="592"/>
      <c r="C155" s="592"/>
      <c r="D155" s="592"/>
      <c r="E155" s="592"/>
      <c r="F155" s="592"/>
      <c r="G155" s="592"/>
      <c r="H155" s="592"/>
      <c r="I155" s="592"/>
      <c r="J155" s="592"/>
      <c r="Q155" s="18"/>
      <c r="R155" s="18"/>
      <c r="S155" s="18"/>
      <c r="T155" s="18"/>
      <c r="U155" s="18"/>
      <c r="V155" s="18"/>
      <c r="W155" s="18"/>
      <c r="X155" s="18"/>
      <c r="Y155" s="18"/>
      <c r="Z155" s="18"/>
      <c r="AA155" s="18"/>
      <c r="AB155" s="18"/>
      <c r="AC155" s="18"/>
      <c r="AD155" s="18"/>
      <c r="AE155" s="18"/>
      <c r="AI155" s="364">
        <v>110</v>
      </c>
      <c r="AJ155" s="330">
        <f t="shared" si="65"/>
        <v>0</v>
      </c>
      <c r="AK155" s="344" t="str">
        <f t="shared" si="66"/>
        <v>None</v>
      </c>
      <c r="AL155" s="330">
        <f t="shared" si="101"/>
        <v>0</v>
      </c>
      <c r="AM155" s="336">
        <f t="shared" si="98"/>
        <v>0</v>
      </c>
      <c r="AN155" s="330">
        <f t="shared" si="102"/>
        <v>0</v>
      </c>
      <c r="AO155" s="437">
        <f t="shared" si="99"/>
        <v>0</v>
      </c>
      <c r="AP155" s="348" t="b">
        <f t="shared" si="67"/>
        <v>0</v>
      </c>
      <c r="AQ155" s="348">
        <f t="shared" si="68"/>
        <v>0</v>
      </c>
      <c r="AR155" s="348">
        <f t="shared" si="69"/>
        <v>0</v>
      </c>
      <c r="AS155" s="348">
        <f t="shared" si="70"/>
        <v>0</v>
      </c>
      <c r="AT155" s="348" t="str">
        <f t="shared" si="90"/>
        <v/>
      </c>
      <c r="AU155" s="348" t="str">
        <f t="shared" si="91"/>
        <v/>
      </c>
      <c r="AV155" s="348">
        <f t="shared" si="92"/>
        <v>0</v>
      </c>
      <c r="AW155" s="348">
        <f t="shared" si="71"/>
        <v>0</v>
      </c>
      <c r="AX155" s="348">
        <f t="shared" si="72"/>
        <v>0</v>
      </c>
      <c r="AY155" s="330">
        <f t="shared" si="73"/>
        <v>0</v>
      </c>
      <c r="AZ155" s="330">
        <f t="shared" si="74"/>
        <v>0</v>
      </c>
      <c r="BA155" s="330">
        <f t="shared" si="75"/>
        <v>0</v>
      </c>
      <c r="BB155" s="330">
        <f t="shared" si="76"/>
        <v>0</v>
      </c>
      <c r="BC155" s="330">
        <f t="shared" si="77"/>
        <v>0</v>
      </c>
      <c r="BD155" s="330">
        <f t="shared" si="78"/>
        <v>0</v>
      </c>
      <c r="BE155" s="330">
        <f t="shared" si="93"/>
        <v>0</v>
      </c>
      <c r="BF155" s="330">
        <f t="shared" si="79"/>
        <v>0</v>
      </c>
      <c r="BG155" s="330">
        <f t="shared" si="80"/>
        <v>0</v>
      </c>
      <c r="BH155" s="330" t="str">
        <f t="shared" si="81"/>
        <v/>
      </c>
      <c r="BI155" s="330" t="str">
        <f t="shared" si="94"/>
        <v/>
      </c>
      <c r="BJ155" s="330" t="str">
        <f t="shared" si="95"/>
        <v/>
      </c>
      <c r="BK155" s="330" t="str">
        <f t="shared" si="82"/>
        <v/>
      </c>
      <c r="BL155" s="330" t="str">
        <f t="shared" si="83"/>
        <v/>
      </c>
      <c r="BM155" s="330" t="str">
        <f t="shared" si="96"/>
        <v/>
      </c>
      <c r="BN155" s="330" t="str">
        <f t="shared" si="100"/>
        <v/>
      </c>
      <c r="BO155" s="330">
        <f t="shared" si="84"/>
        <v>0</v>
      </c>
      <c r="BP155" s="330">
        <f t="shared" si="85"/>
        <v>0</v>
      </c>
      <c r="BQ155" s="330">
        <f t="shared" si="86"/>
        <v>0</v>
      </c>
      <c r="BR155" s="330" t="str">
        <f t="shared" si="87"/>
        <v/>
      </c>
      <c r="BS155" s="432" t="str">
        <f t="shared" si="97"/>
        <v/>
      </c>
    </row>
    <row r="156" spans="1:71">
      <c r="A156" s="592"/>
      <c r="B156" s="592"/>
      <c r="C156" s="592"/>
      <c r="D156" s="592"/>
      <c r="E156" s="592"/>
      <c r="F156" s="592"/>
      <c r="G156" s="592"/>
      <c r="H156" s="592"/>
      <c r="I156" s="592"/>
      <c r="J156" s="592"/>
      <c r="Q156" s="18"/>
      <c r="R156" s="18"/>
      <c r="S156" s="18"/>
      <c r="T156" s="18"/>
      <c r="U156" s="18"/>
      <c r="V156" s="18"/>
      <c r="W156" s="18"/>
      <c r="X156" s="18"/>
      <c r="Y156" s="18"/>
      <c r="Z156" s="18"/>
      <c r="AA156" s="18"/>
      <c r="AB156" s="18"/>
      <c r="AC156" s="18"/>
      <c r="AD156" s="18"/>
      <c r="AE156" s="18"/>
      <c r="AI156" s="364">
        <v>111</v>
      </c>
      <c r="AJ156" s="330">
        <f t="shared" si="65"/>
        <v>0</v>
      </c>
      <c r="AK156" s="344" t="str">
        <f t="shared" si="66"/>
        <v>None</v>
      </c>
      <c r="AL156" s="330">
        <f t="shared" si="101"/>
        <v>0</v>
      </c>
      <c r="AM156" s="336">
        <f t="shared" si="98"/>
        <v>0</v>
      </c>
      <c r="AN156" s="330">
        <f t="shared" si="102"/>
        <v>0</v>
      </c>
      <c r="AO156" s="437">
        <f t="shared" si="99"/>
        <v>0</v>
      </c>
      <c r="AP156" s="348" t="b">
        <f t="shared" si="67"/>
        <v>0</v>
      </c>
      <c r="AQ156" s="348">
        <f t="shared" si="68"/>
        <v>0</v>
      </c>
      <c r="AR156" s="348">
        <f t="shared" si="69"/>
        <v>0</v>
      </c>
      <c r="AS156" s="348">
        <f t="shared" si="70"/>
        <v>0</v>
      </c>
      <c r="AT156" s="348" t="str">
        <f t="shared" si="90"/>
        <v/>
      </c>
      <c r="AU156" s="348" t="str">
        <f t="shared" si="91"/>
        <v/>
      </c>
      <c r="AV156" s="348">
        <f t="shared" si="92"/>
        <v>0</v>
      </c>
      <c r="AW156" s="348">
        <f t="shared" si="71"/>
        <v>0</v>
      </c>
      <c r="AX156" s="348">
        <f t="shared" si="72"/>
        <v>0</v>
      </c>
      <c r="AY156" s="330">
        <f t="shared" si="73"/>
        <v>0</v>
      </c>
      <c r="AZ156" s="330">
        <f t="shared" si="74"/>
        <v>0</v>
      </c>
      <c r="BA156" s="330">
        <f t="shared" si="75"/>
        <v>0</v>
      </c>
      <c r="BB156" s="330">
        <f t="shared" si="76"/>
        <v>0</v>
      </c>
      <c r="BC156" s="330">
        <f t="shared" si="77"/>
        <v>0</v>
      </c>
      <c r="BD156" s="330">
        <f t="shared" si="78"/>
        <v>0</v>
      </c>
      <c r="BE156" s="330">
        <f t="shared" si="93"/>
        <v>0</v>
      </c>
      <c r="BF156" s="330">
        <f t="shared" si="79"/>
        <v>0</v>
      </c>
      <c r="BG156" s="330">
        <f t="shared" si="80"/>
        <v>0</v>
      </c>
      <c r="BH156" s="330" t="str">
        <f t="shared" si="81"/>
        <v/>
      </c>
      <c r="BI156" s="330" t="str">
        <f t="shared" si="94"/>
        <v/>
      </c>
      <c r="BJ156" s="330" t="str">
        <f t="shared" si="95"/>
        <v/>
      </c>
      <c r="BK156" s="330" t="str">
        <f t="shared" si="82"/>
        <v/>
      </c>
      <c r="BL156" s="330" t="str">
        <f t="shared" si="83"/>
        <v/>
      </c>
      <c r="BM156" s="330" t="str">
        <f t="shared" si="96"/>
        <v/>
      </c>
      <c r="BN156" s="330" t="str">
        <f t="shared" si="100"/>
        <v/>
      </c>
      <c r="BO156" s="330">
        <f t="shared" si="84"/>
        <v>0</v>
      </c>
      <c r="BP156" s="330">
        <f t="shared" si="85"/>
        <v>0</v>
      </c>
      <c r="BQ156" s="330">
        <f t="shared" si="86"/>
        <v>0</v>
      </c>
      <c r="BR156" s="330" t="str">
        <f t="shared" si="87"/>
        <v/>
      </c>
      <c r="BS156" s="432" t="str">
        <f t="shared" si="97"/>
        <v/>
      </c>
    </row>
    <row r="157" spans="1:71">
      <c r="A157" s="592"/>
      <c r="B157" s="592"/>
      <c r="C157" s="592"/>
      <c r="D157" s="592"/>
      <c r="E157" s="592"/>
      <c r="F157" s="592"/>
      <c r="G157" s="592"/>
      <c r="H157" s="592"/>
      <c r="I157" s="592"/>
      <c r="J157" s="592"/>
      <c r="Q157" s="18"/>
      <c r="R157" s="18"/>
      <c r="S157" s="18"/>
      <c r="T157" s="18"/>
      <c r="U157" s="18"/>
      <c r="V157" s="18"/>
      <c r="W157" s="18"/>
      <c r="X157" s="18"/>
      <c r="Y157" s="18"/>
      <c r="Z157" s="18"/>
      <c r="AA157" s="18"/>
      <c r="AB157" s="18"/>
      <c r="AC157" s="18"/>
      <c r="AD157" s="18"/>
      <c r="AE157" s="18"/>
      <c r="AI157" s="364">
        <v>112</v>
      </c>
      <c r="AJ157" s="330">
        <f t="shared" si="65"/>
        <v>0</v>
      </c>
      <c r="AK157" s="344" t="str">
        <f t="shared" si="66"/>
        <v>None</v>
      </c>
      <c r="AL157" s="330">
        <f t="shared" si="101"/>
        <v>0</v>
      </c>
      <c r="AM157" s="336">
        <f t="shared" si="98"/>
        <v>0</v>
      </c>
      <c r="AN157" s="330">
        <f t="shared" si="102"/>
        <v>0</v>
      </c>
      <c r="AO157" s="437">
        <f t="shared" si="99"/>
        <v>0</v>
      </c>
      <c r="AP157" s="348" t="b">
        <f t="shared" si="67"/>
        <v>0</v>
      </c>
      <c r="AQ157" s="348">
        <f t="shared" si="68"/>
        <v>0</v>
      </c>
      <c r="AR157" s="348">
        <f t="shared" si="69"/>
        <v>0</v>
      </c>
      <c r="AS157" s="348">
        <f t="shared" si="70"/>
        <v>0</v>
      </c>
      <c r="AT157" s="348" t="str">
        <f t="shared" si="90"/>
        <v/>
      </c>
      <c r="AU157" s="348" t="str">
        <f t="shared" si="91"/>
        <v/>
      </c>
      <c r="AV157" s="348">
        <f t="shared" si="92"/>
        <v>0</v>
      </c>
      <c r="AW157" s="348">
        <f t="shared" si="71"/>
        <v>0</v>
      </c>
      <c r="AX157" s="348">
        <f t="shared" si="72"/>
        <v>0</v>
      </c>
      <c r="AY157" s="330">
        <f t="shared" si="73"/>
        <v>0</v>
      </c>
      <c r="AZ157" s="330">
        <f t="shared" si="74"/>
        <v>0</v>
      </c>
      <c r="BA157" s="330">
        <f t="shared" si="75"/>
        <v>0</v>
      </c>
      <c r="BB157" s="330">
        <f t="shared" si="76"/>
        <v>0</v>
      </c>
      <c r="BC157" s="330">
        <f t="shared" si="77"/>
        <v>0</v>
      </c>
      <c r="BD157" s="330">
        <f t="shared" si="78"/>
        <v>0</v>
      </c>
      <c r="BE157" s="330">
        <f t="shared" si="93"/>
        <v>0</v>
      </c>
      <c r="BF157" s="330">
        <f t="shared" si="79"/>
        <v>0</v>
      </c>
      <c r="BG157" s="330">
        <f t="shared" si="80"/>
        <v>0</v>
      </c>
      <c r="BH157" s="330" t="str">
        <f t="shared" si="81"/>
        <v/>
      </c>
      <c r="BI157" s="330" t="str">
        <f t="shared" si="94"/>
        <v/>
      </c>
      <c r="BJ157" s="330" t="str">
        <f t="shared" si="95"/>
        <v/>
      </c>
      <c r="BK157" s="330" t="str">
        <f t="shared" si="82"/>
        <v/>
      </c>
      <c r="BL157" s="330" t="str">
        <f t="shared" si="83"/>
        <v/>
      </c>
      <c r="BM157" s="330" t="str">
        <f t="shared" si="96"/>
        <v/>
      </c>
      <c r="BN157" s="330" t="str">
        <f t="shared" si="100"/>
        <v/>
      </c>
      <c r="BO157" s="330">
        <f t="shared" si="84"/>
        <v>0</v>
      </c>
      <c r="BP157" s="330">
        <f t="shared" si="85"/>
        <v>0</v>
      </c>
      <c r="BQ157" s="330">
        <f t="shared" si="86"/>
        <v>0</v>
      </c>
      <c r="BR157" s="330" t="str">
        <f t="shared" si="87"/>
        <v/>
      </c>
      <c r="BS157" s="432" t="str">
        <f t="shared" si="97"/>
        <v/>
      </c>
    </row>
    <row r="158" spans="1:71">
      <c r="A158" s="592"/>
      <c r="B158" s="592"/>
      <c r="C158" s="592"/>
      <c r="D158" s="592"/>
      <c r="E158" s="592"/>
      <c r="F158" s="592"/>
      <c r="G158" s="592"/>
      <c r="H158" s="592"/>
      <c r="I158" s="592"/>
      <c r="J158" s="592"/>
      <c r="Q158" s="18"/>
      <c r="R158" s="18"/>
      <c r="S158" s="18"/>
      <c r="T158" s="18"/>
      <c r="U158" s="18"/>
      <c r="V158" s="18"/>
      <c r="W158" s="18"/>
      <c r="X158" s="18"/>
      <c r="Y158" s="18"/>
      <c r="Z158" s="18"/>
      <c r="AA158" s="18"/>
      <c r="AB158" s="18"/>
      <c r="AC158" s="18"/>
      <c r="AD158" s="18"/>
      <c r="AE158" s="18"/>
      <c r="AI158" s="364">
        <v>113</v>
      </c>
      <c r="AJ158" s="330">
        <f t="shared" si="65"/>
        <v>0</v>
      </c>
      <c r="AK158" s="344" t="str">
        <f t="shared" si="66"/>
        <v>None</v>
      </c>
      <c r="AL158" s="330">
        <f t="shared" si="101"/>
        <v>0</v>
      </c>
      <c r="AM158" s="336">
        <f t="shared" si="98"/>
        <v>0</v>
      </c>
      <c r="AN158" s="330">
        <f t="shared" si="102"/>
        <v>0</v>
      </c>
      <c r="AO158" s="437">
        <f t="shared" si="99"/>
        <v>0</v>
      </c>
      <c r="AP158" s="348" t="b">
        <f t="shared" si="67"/>
        <v>0</v>
      </c>
      <c r="AQ158" s="348">
        <f t="shared" si="68"/>
        <v>0</v>
      </c>
      <c r="AR158" s="348">
        <f t="shared" si="69"/>
        <v>0</v>
      </c>
      <c r="AS158" s="348">
        <f t="shared" si="70"/>
        <v>0</v>
      </c>
      <c r="AT158" s="348" t="str">
        <f t="shared" si="90"/>
        <v/>
      </c>
      <c r="AU158" s="348" t="str">
        <f t="shared" si="91"/>
        <v/>
      </c>
      <c r="AV158" s="348">
        <f t="shared" si="92"/>
        <v>0</v>
      </c>
      <c r="AW158" s="348">
        <f t="shared" si="71"/>
        <v>0</v>
      </c>
      <c r="AX158" s="348">
        <f t="shared" si="72"/>
        <v>0</v>
      </c>
      <c r="AY158" s="330">
        <f t="shared" si="73"/>
        <v>0</v>
      </c>
      <c r="AZ158" s="330">
        <f t="shared" si="74"/>
        <v>0</v>
      </c>
      <c r="BA158" s="330">
        <f t="shared" si="75"/>
        <v>0</v>
      </c>
      <c r="BB158" s="330">
        <f t="shared" si="76"/>
        <v>0</v>
      </c>
      <c r="BC158" s="330">
        <f t="shared" si="77"/>
        <v>0</v>
      </c>
      <c r="BD158" s="330">
        <f t="shared" si="78"/>
        <v>0</v>
      </c>
      <c r="BE158" s="330">
        <f t="shared" si="93"/>
        <v>0</v>
      </c>
      <c r="BF158" s="330">
        <f t="shared" si="79"/>
        <v>0</v>
      </c>
      <c r="BG158" s="330">
        <f t="shared" si="80"/>
        <v>0</v>
      </c>
      <c r="BH158" s="330" t="str">
        <f t="shared" si="81"/>
        <v/>
      </c>
      <c r="BI158" s="330" t="str">
        <f t="shared" si="94"/>
        <v/>
      </c>
      <c r="BJ158" s="330" t="str">
        <f t="shared" si="95"/>
        <v/>
      </c>
      <c r="BK158" s="330" t="str">
        <f t="shared" si="82"/>
        <v/>
      </c>
      <c r="BL158" s="330" t="str">
        <f t="shared" si="83"/>
        <v/>
      </c>
      <c r="BM158" s="330" t="str">
        <f t="shared" si="96"/>
        <v/>
      </c>
      <c r="BN158" s="330" t="str">
        <f t="shared" si="100"/>
        <v/>
      </c>
      <c r="BO158" s="330">
        <f t="shared" si="84"/>
        <v>0</v>
      </c>
      <c r="BP158" s="330">
        <f t="shared" si="85"/>
        <v>0</v>
      </c>
      <c r="BQ158" s="330">
        <f t="shared" si="86"/>
        <v>0</v>
      </c>
      <c r="BR158" s="330" t="str">
        <f t="shared" si="87"/>
        <v/>
      </c>
      <c r="BS158" s="432" t="str">
        <f t="shared" si="97"/>
        <v/>
      </c>
    </row>
    <row r="159" spans="1:71">
      <c r="A159" s="592"/>
      <c r="B159" s="592"/>
      <c r="C159" s="592"/>
      <c r="D159" s="592"/>
      <c r="E159" s="592"/>
      <c r="F159" s="592"/>
      <c r="G159" s="592"/>
      <c r="H159" s="592"/>
      <c r="I159" s="592"/>
      <c r="J159" s="592"/>
      <c r="Q159" s="18"/>
      <c r="R159" s="18"/>
      <c r="S159" s="18"/>
      <c r="T159" s="18"/>
      <c r="U159" s="18"/>
      <c r="V159" s="18"/>
      <c r="W159" s="18"/>
      <c r="X159" s="18"/>
      <c r="Y159" s="18"/>
      <c r="Z159" s="18"/>
      <c r="AA159" s="18"/>
      <c r="AB159" s="18"/>
      <c r="AC159" s="18"/>
      <c r="AD159" s="18"/>
      <c r="AE159" s="18"/>
      <c r="AI159" s="364">
        <v>114</v>
      </c>
      <c r="AJ159" s="330">
        <f t="shared" si="65"/>
        <v>0</v>
      </c>
      <c r="AK159" s="344" t="str">
        <f t="shared" si="66"/>
        <v>None</v>
      </c>
      <c r="AL159" s="330">
        <f t="shared" si="101"/>
        <v>0</v>
      </c>
      <c r="AM159" s="336">
        <f t="shared" si="98"/>
        <v>0</v>
      </c>
      <c r="AN159" s="330">
        <f t="shared" si="102"/>
        <v>0</v>
      </c>
      <c r="AO159" s="437">
        <f t="shared" si="99"/>
        <v>0</v>
      </c>
      <c r="AP159" s="348" t="b">
        <f t="shared" si="67"/>
        <v>0</v>
      </c>
      <c r="AQ159" s="348">
        <f t="shared" si="68"/>
        <v>0</v>
      </c>
      <c r="AR159" s="348">
        <f t="shared" si="69"/>
        <v>0</v>
      </c>
      <c r="AS159" s="348">
        <f t="shared" si="70"/>
        <v>0</v>
      </c>
      <c r="AT159" s="348" t="str">
        <f t="shared" si="90"/>
        <v/>
      </c>
      <c r="AU159" s="348" t="str">
        <f t="shared" si="91"/>
        <v/>
      </c>
      <c r="AV159" s="348">
        <f t="shared" si="92"/>
        <v>0</v>
      </c>
      <c r="AW159" s="348">
        <f t="shared" si="71"/>
        <v>0</v>
      </c>
      <c r="AX159" s="348">
        <f t="shared" si="72"/>
        <v>0</v>
      </c>
      <c r="AY159" s="330">
        <f t="shared" si="73"/>
        <v>0</v>
      </c>
      <c r="AZ159" s="330">
        <f t="shared" si="74"/>
        <v>0</v>
      </c>
      <c r="BA159" s="330">
        <f t="shared" si="75"/>
        <v>0</v>
      </c>
      <c r="BB159" s="330">
        <f t="shared" si="76"/>
        <v>0</v>
      </c>
      <c r="BC159" s="330">
        <f t="shared" si="77"/>
        <v>0</v>
      </c>
      <c r="BD159" s="330">
        <f t="shared" si="78"/>
        <v>0</v>
      </c>
      <c r="BE159" s="330">
        <f t="shared" si="93"/>
        <v>0</v>
      </c>
      <c r="BF159" s="330">
        <f t="shared" si="79"/>
        <v>0</v>
      </c>
      <c r="BG159" s="330">
        <f t="shared" si="80"/>
        <v>0</v>
      </c>
      <c r="BH159" s="330" t="str">
        <f t="shared" si="81"/>
        <v/>
      </c>
      <c r="BI159" s="330" t="str">
        <f t="shared" si="94"/>
        <v/>
      </c>
      <c r="BJ159" s="330" t="str">
        <f t="shared" si="95"/>
        <v/>
      </c>
      <c r="BK159" s="330" t="str">
        <f t="shared" si="82"/>
        <v/>
      </c>
      <c r="BL159" s="330" t="str">
        <f t="shared" si="83"/>
        <v/>
      </c>
      <c r="BM159" s="330" t="str">
        <f t="shared" si="96"/>
        <v/>
      </c>
      <c r="BN159" s="330" t="str">
        <f t="shared" si="100"/>
        <v/>
      </c>
      <c r="BO159" s="330">
        <f t="shared" si="84"/>
        <v>0</v>
      </c>
      <c r="BP159" s="330">
        <f t="shared" si="85"/>
        <v>0</v>
      </c>
      <c r="BQ159" s="330">
        <f t="shared" si="86"/>
        <v>0</v>
      </c>
      <c r="BR159" s="330" t="str">
        <f t="shared" si="87"/>
        <v/>
      </c>
      <c r="BS159" s="432" t="str">
        <f t="shared" si="97"/>
        <v/>
      </c>
    </row>
    <row r="160" spans="1:71">
      <c r="A160" s="592"/>
      <c r="B160" s="592"/>
      <c r="C160" s="592"/>
      <c r="D160" s="592"/>
      <c r="E160" s="592"/>
      <c r="F160" s="592"/>
      <c r="G160" s="592"/>
      <c r="H160" s="592"/>
      <c r="I160" s="592"/>
      <c r="J160" s="592"/>
      <c r="Q160" s="18"/>
      <c r="R160" s="18"/>
      <c r="S160" s="18"/>
      <c r="T160" s="18"/>
      <c r="U160" s="18"/>
      <c r="V160" s="18"/>
      <c r="W160" s="18"/>
      <c r="X160" s="18"/>
      <c r="Y160" s="18"/>
      <c r="Z160" s="18"/>
      <c r="AA160" s="18"/>
      <c r="AB160" s="18"/>
      <c r="AC160" s="18"/>
      <c r="AD160" s="18"/>
      <c r="AE160" s="18"/>
      <c r="AI160" s="364">
        <v>115</v>
      </c>
      <c r="AJ160" s="330">
        <f t="shared" si="65"/>
        <v>0</v>
      </c>
      <c r="AK160" s="344" t="str">
        <f t="shared" si="66"/>
        <v>None</v>
      </c>
      <c r="AL160" s="330">
        <f t="shared" si="101"/>
        <v>0</v>
      </c>
      <c r="AM160" s="336">
        <f t="shared" si="98"/>
        <v>0</v>
      </c>
      <c r="AN160" s="330">
        <f t="shared" si="102"/>
        <v>0</v>
      </c>
      <c r="AO160" s="437">
        <f t="shared" si="99"/>
        <v>0</v>
      </c>
      <c r="AP160" s="348" t="b">
        <f t="shared" si="67"/>
        <v>0</v>
      </c>
      <c r="AQ160" s="348">
        <f t="shared" si="68"/>
        <v>0</v>
      </c>
      <c r="AR160" s="348">
        <f t="shared" si="69"/>
        <v>0</v>
      </c>
      <c r="AS160" s="348">
        <f t="shared" si="70"/>
        <v>0</v>
      </c>
      <c r="AT160" s="348" t="str">
        <f t="shared" si="90"/>
        <v/>
      </c>
      <c r="AU160" s="348" t="str">
        <f t="shared" si="91"/>
        <v/>
      </c>
      <c r="AV160" s="348">
        <f t="shared" si="92"/>
        <v>0</v>
      </c>
      <c r="AW160" s="348">
        <f t="shared" si="71"/>
        <v>0</v>
      </c>
      <c r="AX160" s="348">
        <f t="shared" si="72"/>
        <v>0</v>
      </c>
      <c r="AY160" s="330">
        <f t="shared" si="73"/>
        <v>0</v>
      </c>
      <c r="AZ160" s="330">
        <f t="shared" si="74"/>
        <v>0</v>
      </c>
      <c r="BA160" s="330">
        <f t="shared" si="75"/>
        <v>0</v>
      </c>
      <c r="BB160" s="330">
        <f t="shared" si="76"/>
        <v>0</v>
      </c>
      <c r="BC160" s="330">
        <f t="shared" si="77"/>
        <v>0</v>
      </c>
      <c r="BD160" s="330">
        <f t="shared" si="78"/>
        <v>0</v>
      </c>
      <c r="BE160" s="330">
        <f t="shared" si="93"/>
        <v>0</v>
      </c>
      <c r="BF160" s="330">
        <f t="shared" si="79"/>
        <v>0</v>
      </c>
      <c r="BG160" s="330">
        <f t="shared" si="80"/>
        <v>0</v>
      </c>
      <c r="BH160" s="330" t="str">
        <f t="shared" si="81"/>
        <v/>
      </c>
      <c r="BI160" s="330" t="str">
        <f t="shared" si="94"/>
        <v/>
      </c>
      <c r="BJ160" s="330" t="str">
        <f t="shared" si="95"/>
        <v/>
      </c>
      <c r="BK160" s="330" t="str">
        <f t="shared" si="82"/>
        <v/>
      </c>
      <c r="BL160" s="330" t="str">
        <f t="shared" si="83"/>
        <v/>
      </c>
      <c r="BM160" s="330" t="str">
        <f t="shared" si="96"/>
        <v/>
      </c>
      <c r="BN160" s="330" t="str">
        <f t="shared" si="100"/>
        <v/>
      </c>
      <c r="BO160" s="330">
        <f t="shared" si="84"/>
        <v>0</v>
      </c>
      <c r="BP160" s="330">
        <f t="shared" si="85"/>
        <v>0</v>
      </c>
      <c r="BQ160" s="330">
        <f t="shared" si="86"/>
        <v>0</v>
      </c>
      <c r="BR160" s="330" t="str">
        <f t="shared" si="87"/>
        <v/>
      </c>
      <c r="BS160" s="432" t="str">
        <f t="shared" si="97"/>
        <v/>
      </c>
    </row>
    <row r="161" spans="1:71">
      <c r="A161" s="592"/>
      <c r="B161" s="592"/>
      <c r="C161" s="592"/>
      <c r="D161" s="592"/>
      <c r="E161" s="592"/>
      <c r="F161" s="592"/>
      <c r="G161" s="592"/>
      <c r="H161" s="592"/>
      <c r="I161" s="592"/>
      <c r="J161" s="592"/>
      <c r="Q161" s="18"/>
      <c r="R161" s="18"/>
      <c r="S161" s="18"/>
      <c r="T161" s="18"/>
      <c r="U161" s="18"/>
      <c r="V161" s="18"/>
      <c r="W161" s="18"/>
      <c r="X161" s="18"/>
      <c r="Y161" s="18"/>
      <c r="Z161" s="18"/>
      <c r="AA161" s="18"/>
      <c r="AB161" s="18"/>
      <c r="AC161" s="18"/>
      <c r="AD161" s="18"/>
      <c r="AE161" s="18"/>
      <c r="AI161" s="364">
        <v>116</v>
      </c>
      <c r="AJ161" s="330">
        <f t="shared" si="65"/>
        <v>0</v>
      </c>
      <c r="AK161" s="344" t="str">
        <f t="shared" si="66"/>
        <v>None</v>
      </c>
      <c r="AL161" s="330">
        <f t="shared" si="101"/>
        <v>0</v>
      </c>
      <c r="AM161" s="336">
        <f t="shared" si="98"/>
        <v>0</v>
      </c>
      <c r="AN161" s="330">
        <f t="shared" si="102"/>
        <v>0</v>
      </c>
      <c r="AO161" s="437">
        <f t="shared" si="99"/>
        <v>0</v>
      </c>
      <c r="AP161" s="348" t="b">
        <f t="shared" si="67"/>
        <v>0</v>
      </c>
      <c r="AQ161" s="348">
        <f t="shared" si="68"/>
        <v>0</v>
      </c>
      <c r="AR161" s="348">
        <f t="shared" si="69"/>
        <v>0</v>
      </c>
      <c r="AS161" s="348">
        <f t="shared" si="70"/>
        <v>0</v>
      </c>
      <c r="AT161" s="348" t="str">
        <f t="shared" si="90"/>
        <v/>
      </c>
      <c r="AU161" s="348" t="str">
        <f t="shared" si="91"/>
        <v/>
      </c>
      <c r="AV161" s="348">
        <f t="shared" si="92"/>
        <v>0</v>
      </c>
      <c r="AW161" s="348">
        <f t="shared" si="71"/>
        <v>0</v>
      </c>
      <c r="AX161" s="348">
        <f t="shared" si="72"/>
        <v>0</v>
      </c>
      <c r="AY161" s="330">
        <f t="shared" si="73"/>
        <v>0</v>
      </c>
      <c r="AZ161" s="330">
        <f t="shared" si="74"/>
        <v>0</v>
      </c>
      <c r="BA161" s="330">
        <f t="shared" si="75"/>
        <v>0</v>
      </c>
      <c r="BB161" s="330">
        <f t="shared" si="76"/>
        <v>0</v>
      </c>
      <c r="BC161" s="330">
        <f t="shared" si="77"/>
        <v>0</v>
      </c>
      <c r="BD161" s="330">
        <f t="shared" si="78"/>
        <v>0</v>
      </c>
      <c r="BE161" s="330">
        <f t="shared" si="93"/>
        <v>0</v>
      </c>
      <c r="BF161" s="330">
        <f t="shared" si="79"/>
        <v>0</v>
      </c>
      <c r="BG161" s="330">
        <f t="shared" si="80"/>
        <v>0</v>
      </c>
      <c r="BH161" s="330" t="str">
        <f t="shared" si="81"/>
        <v/>
      </c>
      <c r="BI161" s="330" t="str">
        <f t="shared" si="94"/>
        <v/>
      </c>
      <c r="BJ161" s="330" t="str">
        <f t="shared" si="95"/>
        <v/>
      </c>
      <c r="BK161" s="330" t="str">
        <f t="shared" si="82"/>
        <v/>
      </c>
      <c r="BL161" s="330" t="str">
        <f t="shared" si="83"/>
        <v/>
      </c>
      <c r="BM161" s="330" t="str">
        <f t="shared" si="96"/>
        <v/>
      </c>
      <c r="BN161" s="330" t="str">
        <f t="shared" si="100"/>
        <v/>
      </c>
      <c r="BO161" s="330">
        <f t="shared" si="84"/>
        <v>0</v>
      </c>
      <c r="BP161" s="330">
        <f t="shared" si="85"/>
        <v>0</v>
      </c>
      <c r="BQ161" s="330">
        <f t="shared" si="86"/>
        <v>0</v>
      </c>
      <c r="BR161" s="330" t="str">
        <f t="shared" si="87"/>
        <v/>
      </c>
      <c r="BS161" s="432" t="str">
        <f t="shared" si="97"/>
        <v/>
      </c>
    </row>
    <row r="162" spans="1:71">
      <c r="A162" s="592"/>
      <c r="B162" s="592"/>
      <c r="C162" s="592"/>
      <c r="D162" s="592"/>
      <c r="E162" s="592"/>
      <c r="F162" s="592"/>
      <c r="G162" s="592"/>
      <c r="H162" s="592"/>
      <c r="I162" s="592"/>
      <c r="J162" s="592"/>
      <c r="Q162" s="18"/>
      <c r="R162" s="18"/>
      <c r="S162" s="18"/>
      <c r="T162" s="18"/>
      <c r="U162" s="18"/>
      <c r="V162" s="18"/>
      <c r="W162" s="18"/>
      <c r="X162" s="18"/>
      <c r="Y162" s="18"/>
      <c r="Z162" s="18"/>
      <c r="AA162" s="18"/>
      <c r="AB162" s="18"/>
      <c r="AC162" s="18"/>
      <c r="AD162" s="18"/>
      <c r="AE162" s="18"/>
      <c r="AI162" s="364">
        <v>117</v>
      </c>
      <c r="AJ162" s="330">
        <f t="shared" si="65"/>
        <v>0</v>
      </c>
      <c r="AK162" s="344" t="str">
        <f t="shared" si="66"/>
        <v>None</v>
      </c>
      <c r="AL162" s="330">
        <f t="shared" si="101"/>
        <v>0</v>
      </c>
      <c r="AM162" s="336">
        <f t="shared" si="98"/>
        <v>0</v>
      </c>
      <c r="AN162" s="330">
        <f t="shared" si="102"/>
        <v>0</v>
      </c>
      <c r="AO162" s="437">
        <f t="shared" si="99"/>
        <v>0</v>
      </c>
      <c r="AP162" s="348" t="b">
        <f t="shared" si="67"/>
        <v>0</v>
      </c>
      <c r="AQ162" s="348">
        <f t="shared" si="68"/>
        <v>0</v>
      </c>
      <c r="AR162" s="348">
        <f t="shared" si="69"/>
        <v>0</v>
      </c>
      <c r="AS162" s="348">
        <f t="shared" si="70"/>
        <v>0</v>
      </c>
      <c r="AT162" s="348" t="str">
        <f t="shared" si="90"/>
        <v/>
      </c>
      <c r="AU162" s="348" t="str">
        <f t="shared" si="91"/>
        <v/>
      </c>
      <c r="AV162" s="348">
        <f t="shared" si="92"/>
        <v>0</v>
      </c>
      <c r="AW162" s="348">
        <f t="shared" si="71"/>
        <v>0</v>
      </c>
      <c r="AX162" s="348">
        <f t="shared" si="72"/>
        <v>0</v>
      </c>
      <c r="AY162" s="330">
        <f t="shared" si="73"/>
        <v>0</v>
      </c>
      <c r="AZ162" s="330">
        <f t="shared" si="74"/>
        <v>0</v>
      </c>
      <c r="BA162" s="330">
        <f t="shared" si="75"/>
        <v>0</v>
      </c>
      <c r="BB162" s="330">
        <f t="shared" si="76"/>
        <v>0</v>
      </c>
      <c r="BC162" s="330">
        <f t="shared" si="77"/>
        <v>0</v>
      </c>
      <c r="BD162" s="330">
        <f t="shared" si="78"/>
        <v>0</v>
      </c>
      <c r="BE162" s="330">
        <f t="shared" si="93"/>
        <v>0</v>
      </c>
      <c r="BF162" s="330">
        <f t="shared" si="79"/>
        <v>0</v>
      </c>
      <c r="BG162" s="330">
        <f t="shared" si="80"/>
        <v>0</v>
      </c>
      <c r="BH162" s="330" t="str">
        <f t="shared" si="81"/>
        <v/>
      </c>
      <c r="BI162" s="330" t="str">
        <f t="shared" si="94"/>
        <v/>
      </c>
      <c r="BJ162" s="330" t="str">
        <f t="shared" si="95"/>
        <v/>
      </c>
      <c r="BK162" s="330" t="str">
        <f t="shared" si="82"/>
        <v/>
      </c>
      <c r="BL162" s="330" t="str">
        <f t="shared" si="83"/>
        <v/>
      </c>
      <c r="BM162" s="330" t="str">
        <f t="shared" si="96"/>
        <v/>
      </c>
      <c r="BN162" s="330" t="str">
        <f t="shared" si="100"/>
        <v/>
      </c>
      <c r="BO162" s="330">
        <f t="shared" si="84"/>
        <v>0</v>
      </c>
      <c r="BP162" s="330">
        <f t="shared" si="85"/>
        <v>0</v>
      </c>
      <c r="BQ162" s="330">
        <f t="shared" si="86"/>
        <v>0</v>
      </c>
      <c r="BR162" s="330" t="str">
        <f t="shared" si="87"/>
        <v/>
      </c>
      <c r="BS162" s="432" t="str">
        <f t="shared" si="97"/>
        <v/>
      </c>
    </row>
    <row r="163" spans="1:71">
      <c r="A163" s="592"/>
      <c r="B163" s="592"/>
      <c r="C163" s="592"/>
      <c r="D163" s="592"/>
      <c r="E163" s="592"/>
      <c r="F163" s="592"/>
      <c r="G163" s="592"/>
      <c r="H163" s="592"/>
      <c r="I163" s="592"/>
      <c r="J163" s="592"/>
      <c r="Q163" s="18"/>
      <c r="R163" s="18"/>
      <c r="S163" s="18"/>
      <c r="T163" s="18"/>
      <c r="U163" s="18"/>
      <c r="V163" s="18"/>
      <c r="W163" s="18"/>
      <c r="X163" s="18"/>
      <c r="Y163" s="18"/>
      <c r="Z163" s="18"/>
      <c r="AA163" s="18"/>
      <c r="AB163" s="18"/>
      <c r="AC163" s="18"/>
      <c r="AD163" s="18"/>
      <c r="AE163" s="18"/>
      <c r="AI163" s="364">
        <v>118</v>
      </c>
      <c r="AJ163" s="330">
        <f t="shared" si="65"/>
        <v>0</v>
      </c>
      <c r="AK163" s="344" t="str">
        <f t="shared" si="66"/>
        <v>None</v>
      </c>
      <c r="AL163" s="330">
        <f t="shared" si="101"/>
        <v>0</v>
      </c>
      <c r="AM163" s="336">
        <f t="shared" si="98"/>
        <v>0</v>
      </c>
      <c r="AN163" s="330">
        <f t="shared" si="102"/>
        <v>0</v>
      </c>
      <c r="AO163" s="437">
        <f t="shared" si="99"/>
        <v>0</v>
      </c>
      <c r="AP163" s="348" t="b">
        <f t="shared" si="67"/>
        <v>0</v>
      </c>
      <c r="AQ163" s="348">
        <f t="shared" si="68"/>
        <v>0</v>
      </c>
      <c r="AR163" s="348">
        <f t="shared" si="69"/>
        <v>0</v>
      </c>
      <c r="AS163" s="348">
        <f t="shared" si="70"/>
        <v>0</v>
      </c>
      <c r="AT163" s="348" t="str">
        <f t="shared" si="90"/>
        <v/>
      </c>
      <c r="AU163" s="348" t="str">
        <f t="shared" si="91"/>
        <v/>
      </c>
      <c r="AV163" s="348">
        <f t="shared" si="92"/>
        <v>0</v>
      </c>
      <c r="AW163" s="348">
        <f t="shared" si="71"/>
        <v>0</v>
      </c>
      <c r="AX163" s="348">
        <f t="shared" si="72"/>
        <v>0</v>
      </c>
      <c r="AY163" s="330">
        <f t="shared" si="73"/>
        <v>0</v>
      </c>
      <c r="AZ163" s="330">
        <f t="shared" si="74"/>
        <v>0</v>
      </c>
      <c r="BA163" s="330">
        <f t="shared" si="75"/>
        <v>0</v>
      </c>
      <c r="BB163" s="330">
        <f t="shared" si="76"/>
        <v>0</v>
      </c>
      <c r="BC163" s="330">
        <f t="shared" si="77"/>
        <v>0</v>
      </c>
      <c r="BD163" s="330">
        <f t="shared" si="78"/>
        <v>0</v>
      </c>
      <c r="BE163" s="330">
        <f t="shared" si="93"/>
        <v>0</v>
      </c>
      <c r="BF163" s="330">
        <f t="shared" si="79"/>
        <v>0</v>
      </c>
      <c r="BG163" s="330">
        <f t="shared" si="80"/>
        <v>0</v>
      </c>
      <c r="BH163" s="330" t="str">
        <f t="shared" si="81"/>
        <v/>
      </c>
      <c r="BI163" s="330" t="str">
        <f t="shared" si="94"/>
        <v/>
      </c>
      <c r="BJ163" s="330" t="str">
        <f t="shared" si="95"/>
        <v/>
      </c>
      <c r="BK163" s="330" t="str">
        <f t="shared" si="82"/>
        <v/>
      </c>
      <c r="BL163" s="330" t="str">
        <f t="shared" si="83"/>
        <v/>
      </c>
      <c r="BM163" s="330" t="str">
        <f t="shared" si="96"/>
        <v/>
      </c>
      <c r="BN163" s="330" t="str">
        <f t="shared" si="100"/>
        <v/>
      </c>
      <c r="BO163" s="330">
        <f t="shared" si="84"/>
        <v>0</v>
      </c>
      <c r="BP163" s="330">
        <f t="shared" si="85"/>
        <v>0</v>
      </c>
      <c r="BQ163" s="330">
        <f t="shared" si="86"/>
        <v>0</v>
      </c>
      <c r="BR163" s="330" t="str">
        <f t="shared" si="87"/>
        <v/>
      </c>
      <c r="BS163" s="432" t="str">
        <f t="shared" si="97"/>
        <v/>
      </c>
    </row>
    <row r="164" spans="1:71">
      <c r="A164" s="592"/>
      <c r="B164" s="592"/>
      <c r="C164" s="592"/>
      <c r="D164" s="592"/>
      <c r="E164" s="592"/>
      <c r="F164" s="592"/>
      <c r="G164" s="592"/>
      <c r="H164" s="592"/>
      <c r="I164" s="592"/>
      <c r="J164" s="592"/>
      <c r="Q164" s="18"/>
      <c r="R164" s="18"/>
      <c r="S164" s="18"/>
      <c r="T164" s="18"/>
      <c r="U164" s="18"/>
      <c r="V164" s="18"/>
      <c r="W164" s="18"/>
      <c r="X164" s="18"/>
      <c r="Y164" s="18"/>
      <c r="Z164" s="18"/>
      <c r="AA164" s="18"/>
      <c r="AB164" s="18"/>
      <c r="AC164" s="18"/>
      <c r="AD164" s="18"/>
      <c r="AE164" s="18"/>
      <c r="AI164" s="364">
        <v>119</v>
      </c>
      <c r="AJ164" s="330">
        <f t="shared" si="65"/>
        <v>0</v>
      </c>
      <c r="AK164" s="344" t="str">
        <f t="shared" si="66"/>
        <v>None</v>
      </c>
      <c r="AL164" s="330">
        <f t="shared" si="101"/>
        <v>0</v>
      </c>
      <c r="AM164" s="336">
        <f t="shared" si="98"/>
        <v>0</v>
      </c>
      <c r="AN164" s="330">
        <f t="shared" si="102"/>
        <v>0</v>
      </c>
      <c r="AO164" s="437">
        <f t="shared" si="99"/>
        <v>0</v>
      </c>
      <c r="AP164" s="348" t="b">
        <f t="shared" si="67"/>
        <v>0</v>
      </c>
      <c r="AQ164" s="348">
        <f t="shared" si="68"/>
        <v>0</v>
      </c>
      <c r="AR164" s="348">
        <f t="shared" si="69"/>
        <v>0</v>
      </c>
      <c r="AS164" s="348">
        <f t="shared" si="70"/>
        <v>0</v>
      </c>
      <c r="AT164" s="348" t="str">
        <f t="shared" si="90"/>
        <v/>
      </c>
      <c r="AU164" s="348" t="str">
        <f t="shared" si="91"/>
        <v/>
      </c>
      <c r="AV164" s="348">
        <f t="shared" si="92"/>
        <v>0</v>
      </c>
      <c r="AW164" s="348">
        <f t="shared" si="71"/>
        <v>0</v>
      </c>
      <c r="AX164" s="348">
        <f t="shared" si="72"/>
        <v>0</v>
      </c>
      <c r="AY164" s="330">
        <f t="shared" si="73"/>
        <v>0</v>
      </c>
      <c r="AZ164" s="330">
        <f t="shared" si="74"/>
        <v>0</v>
      </c>
      <c r="BA164" s="330">
        <f t="shared" si="75"/>
        <v>0</v>
      </c>
      <c r="BB164" s="330">
        <f t="shared" si="76"/>
        <v>0</v>
      </c>
      <c r="BC164" s="330">
        <f t="shared" si="77"/>
        <v>0</v>
      </c>
      <c r="BD164" s="330">
        <f t="shared" si="78"/>
        <v>0</v>
      </c>
      <c r="BE164" s="330">
        <f t="shared" si="93"/>
        <v>0</v>
      </c>
      <c r="BF164" s="330">
        <f t="shared" si="79"/>
        <v>0</v>
      </c>
      <c r="BG164" s="330">
        <f t="shared" si="80"/>
        <v>0</v>
      </c>
      <c r="BH164" s="330" t="str">
        <f t="shared" si="81"/>
        <v/>
      </c>
      <c r="BI164" s="330" t="str">
        <f t="shared" si="94"/>
        <v/>
      </c>
      <c r="BJ164" s="330" t="str">
        <f t="shared" si="95"/>
        <v/>
      </c>
      <c r="BK164" s="330" t="str">
        <f t="shared" si="82"/>
        <v/>
      </c>
      <c r="BL164" s="330" t="str">
        <f t="shared" si="83"/>
        <v/>
      </c>
      <c r="BM164" s="330" t="str">
        <f t="shared" si="96"/>
        <v/>
      </c>
      <c r="BN164" s="330" t="str">
        <f t="shared" si="100"/>
        <v/>
      </c>
      <c r="BO164" s="330">
        <f t="shared" si="84"/>
        <v>0</v>
      </c>
      <c r="BP164" s="330">
        <f t="shared" si="85"/>
        <v>0</v>
      </c>
      <c r="BQ164" s="330">
        <f t="shared" si="86"/>
        <v>0</v>
      </c>
      <c r="BR164" s="330" t="str">
        <f t="shared" si="87"/>
        <v/>
      </c>
      <c r="BS164" s="432" t="str">
        <f t="shared" si="97"/>
        <v/>
      </c>
    </row>
    <row r="165" spans="1:71">
      <c r="A165" s="592"/>
      <c r="B165" s="592"/>
      <c r="C165" s="592"/>
      <c r="D165" s="592"/>
      <c r="E165" s="592"/>
      <c r="F165" s="592"/>
      <c r="G165" s="592"/>
      <c r="H165" s="592"/>
      <c r="I165" s="592"/>
      <c r="J165" s="592"/>
      <c r="Q165" s="18"/>
      <c r="R165" s="18"/>
      <c r="S165" s="18"/>
      <c r="T165" s="18"/>
      <c r="U165" s="18"/>
      <c r="V165" s="18"/>
      <c r="W165" s="18"/>
      <c r="X165" s="18"/>
      <c r="Y165" s="18"/>
      <c r="Z165" s="18"/>
      <c r="AA165" s="18"/>
      <c r="AB165" s="18"/>
      <c r="AC165" s="18"/>
      <c r="AD165" s="18"/>
      <c r="AE165" s="18"/>
      <c r="AI165" s="364">
        <v>120</v>
      </c>
      <c r="AJ165" s="330">
        <f t="shared" si="65"/>
        <v>0</v>
      </c>
      <c r="AK165" s="344" t="str">
        <f t="shared" si="66"/>
        <v>None</v>
      </c>
      <c r="AL165" s="330">
        <f t="shared" si="101"/>
        <v>0</v>
      </c>
      <c r="AM165" s="336">
        <f t="shared" si="98"/>
        <v>0</v>
      </c>
      <c r="AN165" s="330">
        <f t="shared" si="102"/>
        <v>0</v>
      </c>
      <c r="AO165" s="437">
        <f t="shared" si="99"/>
        <v>0</v>
      </c>
      <c r="AP165" s="348" t="b">
        <f t="shared" si="67"/>
        <v>0</v>
      </c>
      <c r="AQ165" s="348">
        <f t="shared" si="68"/>
        <v>0</v>
      </c>
      <c r="AR165" s="348">
        <f t="shared" si="69"/>
        <v>0</v>
      </c>
      <c r="AS165" s="348">
        <f t="shared" si="70"/>
        <v>0</v>
      </c>
      <c r="AT165" s="348" t="str">
        <f t="shared" si="90"/>
        <v/>
      </c>
      <c r="AU165" s="348" t="str">
        <f t="shared" si="91"/>
        <v/>
      </c>
      <c r="AV165" s="348">
        <f t="shared" si="92"/>
        <v>0</v>
      </c>
      <c r="AW165" s="348">
        <f t="shared" si="71"/>
        <v>0</v>
      </c>
      <c r="AX165" s="348">
        <f t="shared" si="72"/>
        <v>0</v>
      </c>
      <c r="AY165" s="330">
        <f t="shared" si="73"/>
        <v>0</v>
      </c>
      <c r="AZ165" s="330">
        <f t="shared" si="74"/>
        <v>0</v>
      </c>
      <c r="BA165" s="330">
        <f t="shared" si="75"/>
        <v>0</v>
      </c>
      <c r="BB165" s="330">
        <f t="shared" si="76"/>
        <v>0</v>
      </c>
      <c r="BC165" s="330">
        <f t="shared" si="77"/>
        <v>0</v>
      </c>
      <c r="BD165" s="330">
        <f t="shared" si="78"/>
        <v>0</v>
      </c>
      <c r="BE165" s="330">
        <f t="shared" si="93"/>
        <v>0</v>
      </c>
      <c r="BF165" s="330">
        <f t="shared" si="79"/>
        <v>0</v>
      </c>
      <c r="BG165" s="330">
        <f t="shared" si="80"/>
        <v>0</v>
      </c>
      <c r="BH165" s="330" t="str">
        <f t="shared" si="81"/>
        <v/>
      </c>
      <c r="BI165" s="330" t="str">
        <f t="shared" si="94"/>
        <v/>
      </c>
      <c r="BJ165" s="330" t="str">
        <f t="shared" si="95"/>
        <v/>
      </c>
      <c r="BK165" s="330" t="str">
        <f t="shared" si="82"/>
        <v/>
      </c>
      <c r="BL165" s="330" t="str">
        <f t="shared" si="83"/>
        <v/>
      </c>
      <c r="BM165" s="330" t="str">
        <f t="shared" si="96"/>
        <v/>
      </c>
      <c r="BN165" s="330" t="str">
        <f t="shared" si="100"/>
        <v/>
      </c>
      <c r="BO165" s="330">
        <f t="shared" si="84"/>
        <v>0</v>
      </c>
      <c r="BP165" s="330">
        <f t="shared" si="85"/>
        <v>0</v>
      </c>
      <c r="BQ165" s="330">
        <f t="shared" si="86"/>
        <v>0</v>
      </c>
      <c r="BR165" s="330" t="str">
        <f t="shared" si="87"/>
        <v/>
      </c>
      <c r="BS165" s="432" t="str">
        <f t="shared" si="97"/>
        <v/>
      </c>
    </row>
    <row r="166" spans="1:71">
      <c r="A166" s="592"/>
      <c r="B166" s="592"/>
      <c r="C166" s="592"/>
      <c r="D166" s="592"/>
      <c r="E166" s="592"/>
      <c r="F166" s="592"/>
      <c r="G166" s="592"/>
      <c r="H166" s="592"/>
      <c r="I166" s="592"/>
      <c r="J166" s="592"/>
      <c r="Q166" s="18"/>
      <c r="R166" s="18"/>
      <c r="S166" s="18"/>
      <c r="T166" s="18"/>
      <c r="U166" s="18"/>
      <c r="V166" s="18"/>
      <c r="W166" s="18"/>
      <c r="X166" s="18"/>
      <c r="Y166" s="18"/>
      <c r="Z166" s="18"/>
      <c r="AA166" s="18"/>
      <c r="AB166" s="18"/>
      <c r="AC166" s="18"/>
      <c r="AD166" s="18"/>
      <c r="AE166" s="18"/>
      <c r="AI166" s="364">
        <v>121</v>
      </c>
      <c r="AJ166" s="330">
        <f t="shared" si="65"/>
        <v>0</v>
      </c>
      <c r="AK166" s="344" t="str">
        <f t="shared" si="66"/>
        <v>None</v>
      </c>
      <c r="AL166" s="330">
        <f t="shared" si="101"/>
        <v>0</v>
      </c>
      <c r="AM166" s="336">
        <f t="shared" si="98"/>
        <v>0</v>
      </c>
      <c r="AN166" s="330">
        <f t="shared" si="102"/>
        <v>0</v>
      </c>
      <c r="AO166" s="437">
        <f t="shared" si="99"/>
        <v>0</v>
      </c>
      <c r="AP166" s="348" t="b">
        <f t="shared" si="67"/>
        <v>0</v>
      </c>
      <c r="AQ166" s="348">
        <f t="shared" si="68"/>
        <v>0</v>
      </c>
      <c r="AR166" s="348">
        <f t="shared" si="69"/>
        <v>0</v>
      </c>
      <c r="AS166" s="348">
        <f t="shared" si="70"/>
        <v>0</v>
      </c>
      <c r="AT166" s="348" t="str">
        <f t="shared" si="90"/>
        <v/>
      </c>
      <c r="AU166" s="348" t="str">
        <f t="shared" si="91"/>
        <v/>
      </c>
      <c r="AV166" s="348">
        <f t="shared" si="92"/>
        <v>0</v>
      </c>
      <c r="AW166" s="348">
        <f t="shared" si="71"/>
        <v>0</v>
      </c>
      <c r="AX166" s="348">
        <f t="shared" si="72"/>
        <v>0</v>
      </c>
      <c r="AY166" s="330">
        <f t="shared" si="73"/>
        <v>0</v>
      </c>
      <c r="AZ166" s="330">
        <f t="shared" si="74"/>
        <v>0</v>
      </c>
      <c r="BA166" s="330">
        <f t="shared" si="75"/>
        <v>0</v>
      </c>
      <c r="BB166" s="330">
        <f t="shared" si="76"/>
        <v>0</v>
      </c>
      <c r="BC166" s="330">
        <f t="shared" si="77"/>
        <v>0</v>
      </c>
      <c r="BD166" s="330">
        <f t="shared" si="78"/>
        <v>0</v>
      </c>
      <c r="BE166" s="330">
        <f t="shared" si="93"/>
        <v>0</v>
      </c>
      <c r="BF166" s="330">
        <f t="shared" si="79"/>
        <v>0</v>
      </c>
      <c r="BG166" s="330">
        <f t="shared" si="80"/>
        <v>0</v>
      </c>
      <c r="BH166" s="330" t="str">
        <f t="shared" si="81"/>
        <v/>
      </c>
      <c r="BI166" s="330" t="str">
        <f t="shared" si="94"/>
        <v/>
      </c>
      <c r="BJ166" s="330" t="str">
        <f t="shared" si="95"/>
        <v/>
      </c>
      <c r="BK166" s="330" t="str">
        <f t="shared" si="82"/>
        <v/>
      </c>
      <c r="BL166" s="330" t="str">
        <f t="shared" si="83"/>
        <v/>
      </c>
      <c r="BM166" s="330" t="str">
        <f t="shared" si="96"/>
        <v/>
      </c>
      <c r="BN166" s="330" t="str">
        <f t="shared" si="100"/>
        <v/>
      </c>
      <c r="BO166" s="330">
        <f t="shared" si="84"/>
        <v>0</v>
      </c>
      <c r="BP166" s="330">
        <f t="shared" si="85"/>
        <v>0</v>
      </c>
      <c r="BQ166" s="330">
        <f t="shared" si="86"/>
        <v>0</v>
      </c>
      <c r="BR166" s="330" t="str">
        <f t="shared" si="87"/>
        <v/>
      </c>
      <c r="BS166" s="432" t="str">
        <f t="shared" si="97"/>
        <v/>
      </c>
    </row>
    <row r="167" spans="1:71">
      <c r="A167" s="592"/>
      <c r="B167" s="592"/>
      <c r="C167" s="592"/>
      <c r="D167" s="592"/>
      <c r="E167" s="592"/>
      <c r="F167" s="592"/>
      <c r="G167" s="592"/>
      <c r="H167" s="592"/>
      <c r="I167" s="592"/>
      <c r="J167" s="592"/>
      <c r="Q167" s="18"/>
      <c r="R167" s="18"/>
      <c r="S167" s="18"/>
      <c r="T167" s="18"/>
      <c r="U167" s="18"/>
      <c r="V167" s="18"/>
      <c r="W167" s="18"/>
      <c r="X167" s="18"/>
      <c r="Y167" s="18"/>
      <c r="Z167" s="18"/>
      <c r="AA167" s="18"/>
      <c r="AB167" s="18"/>
      <c r="AC167" s="18"/>
      <c r="AD167" s="18"/>
      <c r="AE167" s="18"/>
      <c r="AI167" s="364">
        <v>122</v>
      </c>
      <c r="AJ167" s="330">
        <f t="shared" si="65"/>
        <v>0</v>
      </c>
      <c r="AK167" s="344" t="str">
        <f t="shared" si="66"/>
        <v>None</v>
      </c>
      <c r="AL167" s="330">
        <f t="shared" si="101"/>
        <v>0</v>
      </c>
      <c r="AM167" s="336">
        <f t="shared" si="98"/>
        <v>0</v>
      </c>
      <c r="AN167" s="330">
        <f t="shared" si="102"/>
        <v>0</v>
      </c>
      <c r="AO167" s="437">
        <f t="shared" si="99"/>
        <v>0</v>
      </c>
      <c r="AP167" s="348" t="b">
        <f t="shared" si="67"/>
        <v>0</v>
      </c>
      <c r="AQ167" s="348">
        <f t="shared" si="68"/>
        <v>0</v>
      </c>
      <c r="AR167" s="348">
        <f t="shared" si="69"/>
        <v>0</v>
      </c>
      <c r="AS167" s="348">
        <f t="shared" si="70"/>
        <v>0</v>
      </c>
      <c r="AT167" s="348" t="str">
        <f t="shared" si="90"/>
        <v/>
      </c>
      <c r="AU167" s="348" t="str">
        <f t="shared" si="91"/>
        <v/>
      </c>
      <c r="AV167" s="348">
        <f t="shared" si="92"/>
        <v>0</v>
      </c>
      <c r="AW167" s="348">
        <f t="shared" si="71"/>
        <v>0</v>
      </c>
      <c r="AX167" s="348">
        <f t="shared" si="72"/>
        <v>0</v>
      </c>
      <c r="AY167" s="330">
        <f t="shared" si="73"/>
        <v>0</v>
      </c>
      <c r="AZ167" s="330">
        <f t="shared" si="74"/>
        <v>0</v>
      </c>
      <c r="BA167" s="330">
        <f t="shared" si="75"/>
        <v>0</v>
      </c>
      <c r="BB167" s="330">
        <f t="shared" si="76"/>
        <v>0</v>
      </c>
      <c r="BC167" s="330">
        <f t="shared" si="77"/>
        <v>0</v>
      </c>
      <c r="BD167" s="330">
        <f t="shared" si="78"/>
        <v>0</v>
      </c>
      <c r="BE167" s="330">
        <f t="shared" si="93"/>
        <v>0</v>
      </c>
      <c r="BF167" s="330">
        <f t="shared" si="79"/>
        <v>0</v>
      </c>
      <c r="BG167" s="330">
        <f t="shared" si="80"/>
        <v>0</v>
      </c>
      <c r="BH167" s="330" t="str">
        <f t="shared" si="81"/>
        <v/>
      </c>
      <c r="BI167" s="330" t="str">
        <f t="shared" si="94"/>
        <v/>
      </c>
      <c r="BJ167" s="330" t="str">
        <f t="shared" si="95"/>
        <v/>
      </c>
      <c r="BK167" s="330" t="str">
        <f t="shared" si="82"/>
        <v/>
      </c>
      <c r="BL167" s="330" t="str">
        <f t="shared" si="83"/>
        <v/>
      </c>
      <c r="BM167" s="330" t="str">
        <f t="shared" si="96"/>
        <v/>
      </c>
      <c r="BN167" s="330" t="str">
        <f t="shared" si="100"/>
        <v/>
      </c>
      <c r="BO167" s="330">
        <f t="shared" si="84"/>
        <v>0</v>
      </c>
      <c r="BP167" s="330">
        <f t="shared" si="85"/>
        <v>0</v>
      </c>
      <c r="BQ167" s="330">
        <f t="shared" si="86"/>
        <v>0</v>
      </c>
      <c r="BR167" s="330" t="str">
        <f t="shared" si="87"/>
        <v/>
      </c>
      <c r="BS167" s="432" t="str">
        <f t="shared" si="97"/>
        <v/>
      </c>
    </row>
    <row r="168" spans="1:71">
      <c r="A168" s="592"/>
      <c r="B168" s="592"/>
      <c r="C168" s="592"/>
      <c r="D168" s="592"/>
      <c r="E168" s="592"/>
      <c r="F168" s="592"/>
      <c r="G168" s="592"/>
      <c r="H168" s="592"/>
      <c r="I168" s="592"/>
      <c r="J168" s="592"/>
      <c r="Q168" s="18"/>
      <c r="R168" s="18"/>
      <c r="S168" s="18"/>
      <c r="T168" s="18"/>
      <c r="U168" s="18"/>
      <c r="V168" s="18"/>
      <c r="W168" s="18"/>
      <c r="X168" s="18"/>
      <c r="Y168" s="18"/>
      <c r="Z168" s="18"/>
      <c r="AA168" s="18"/>
      <c r="AB168" s="18"/>
      <c r="AC168" s="18"/>
      <c r="AD168" s="18"/>
      <c r="AE168" s="18"/>
      <c r="AI168" s="364">
        <v>123</v>
      </c>
      <c r="AJ168" s="330">
        <f t="shared" si="65"/>
        <v>0</v>
      </c>
      <c r="AK168" s="344" t="str">
        <f t="shared" si="66"/>
        <v>None</v>
      </c>
      <c r="AL168" s="330">
        <f t="shared" si="101"/>
        <v>0</v>
      </c>
      <c r="AM168" s="336">
        <f t="shared" si="98"/>
        <v>0</v>
      </c>
      <c r="AN168" s="330">
        <f t="shared" si="102"/>
        <v>0</v>
      </c>
      <c r="AO168" s="437">
        <f t="shared" si="99"/>
        <v>0</v>
      </c>
      <c r="AP168" s="348" t="b">
        <f t="shared" si="67"/>
        <v>0</v>
      </c>
      <c r="AQ168" s="348">
        <f t="shared" si="68"/>
        <v>0</v>
      </c>
      <c r="AR168" s="348">
        <f t="shared" si="69"/>
        <v>0</v>
      </c>
      <c r="AS168" s="348">
        <f t="shared" si="70"/>
        <v>0</v>
      </c>
      <c r="AT168" s="348" t="str">
        <f t="shared" si="90"/>
        <v/>
      </c>
      <c r="AU168" s="348" t="str">
        <f t="shared" si="91"/>
        <v/>
      </c>
      <c r="AV168" s="348">
        <f t="shared" si="92"/>
        <v>0</v>
      </c>
      <c r="AW168" s="348">
        <f t="shared" si="71"/>
        <v>0</v>
      </c>
      <c r="AX168" s="348">
        <f t="shared" si="72"/>
        <v>0</v>
      </c>
      <c r="AY168" s="330">
        <f t="shared" si="73"/>
        <v>0</v>
      </c>
      <c r="AZ168" s="330">
        <f t="shared" si="74"/>
        <v>0</v>
      </c>
      <c r="BA168" s="330">
        <f t="shared" si="75"/>
        <v>0</v>
      </c>
      <c r="BB168" s="330">
        <f t="shared" si="76"/>
        <v>0</v>
      </c>
      <c r="BC168" s="330">
        <f t="shared" si="77"/>
        <v>0</v>
      </c>
      <c r="BD168" s="330">
        <f t="shared" si="78"/>
        <v>0</v>
      </c>
      <c r="BE168" s="330">
        <f t="shared" si="93"/>
        <v>0</v>
      </c>
      <c r="BF168" s="330">
        <f t="shared" si="79"/>
        <v>0</v>
      </c>
      <c r="BG168" s="330">
        <f t="shared" si="80"/>
        <v>0</v>
      </c>
      <c r="BH168" s="330" t="str">
        <f t="shared" si="81"/>
        <v/>
      </c>
      <c r="BI168" s="330" t="str">
        <f t="shared" si="94"/>
        <v/>
      </c>
      <c r="BJ168" s="330" t="str">
        <f t="shared" si="95"/>
        <v/>
      </c>
      <c r="BK168" s="330" t="str">
        <f t="shared" si="82"/>
        <v/>
      </c>
      <c r="BL168" s="330" t="str">
        <f t="shared" si="83"/>
        <v/>
      </c>
      <c r="BM168" s="330" t="str">
        <f t="shared" si="96"/>
        <v/>
      </c>
      <c r="BN168" s="330" t="str">
        <f t="shared" si="100"/>
        <v/>
      </c>
      <c r="BO168" s="330">
        <f t="shared" si="84"/>
        <v>0</v>
      </c>
      <c r="BP168" s="330">
        <f t="shared" si="85"/>
        <v>0</v>
      </c>
      <c r="BQ168" s="330">
        <f t="shared" si="86"/>
        <v>0</v>
      </c>
      <c r="BR168" s="330" t="str">
        <f t="shared" si="87"/>
        <v/>
      </c>
      <c r="BS168" s="432" t="str">
        <f t="shared" si="97"/>
        <v/>
      </c>
    </row>
    <row r="169" spans="1:71">
      <c r="A169" s="592"/>
      <c r="B169" s="592"/>
      <c r="C169" s="592"/>
      <c r="D169" s="592"/>
      <c r="E169" s="592"/>
      <c r="F169" s="592"/>
      <c r="G169" s="592"/>
      <c r="H169" s="592"/>
      <c r="I169" s="592"/>
      <c r="J169" s="592"/>
      <c r="Q169" s="18"/>
      <c r="R169" s="18"/>
      <c r="S169" s="18"/>
      <c r="T169" s="18"/>
      <c r="U169" s="18"/>
      <c r="V169" s="18"/>
      <c r="W169" s="18"/>
      <c r="X169" s="18"/>
      <c r="Y169" s="18"/>
      <c r="Z169" s="18"/>
      <c r="AA169" s="18"/>
      <c r="AB169" s="18"/>
      <c r="AC169" s="18"/>
      <c r="AD169" s="18"/>
      <c r="AE169" s="18"/>
      <c r="AI169" s="364">
        <v>124</v>
      </c>
      <c r="AJ169" s="330">
        <f t="shared" si="65"/>
        <v>0</v>
      </c>
      <c r="AK169" s="344" t="str">
        <f t="shared" si="66"/>
        <v>None</v>
      </c>
      <c r="AL169" s="330">
        <f t="shared" si="101"/>
        <v>0</v>
      </c>
      <c r="AM169" s="336">
        <f t="shared" si="98"/>
        <v>0</v>
      </c>
      <c r="AN169" s="330">
        <f t="shared" si="102"/>
        <v>0</v>
      </c>
      <c r="AO169" s="437">
        <f t="shared" si="99"/>
        <v>0</v>
      </c>
      <c r="AP169" s="348" t="b">
        <f t="shared" si="67"/>
        <v>0</v>
      </c>
      <c r="AQ169" s="348">
        <f t="shared" si="68"/>
        <v>0</v>
      </c>
      <c r="AR169" s="348">
        <f t="shared" si="69"/>
        <v>0</v>
      </c>
      <c r="AS169" s="348">
        <f t="shared" si="70"/>
        <v>0</v>
      </c>
      <c r="AT169" s="348" t="str">
        <f t="shared" si="90"/>
        <v/>
      </c>
      <c r="AU169" s="348" t="str">
        <f t="shared" si="91"/>
        <v/>
      </c>
      <c r="AV169" s="348">
        <f t="shared" si="92"/>
        <v>0</v>
      </c>
      <c r="AW169" s="348">
        <f t="shared" si="71"/>
        <v>0</v>
      </c>
      <c r="AX169" s="348">
        <f t="shared" si="72"/>
        <v>0</v>
      </c>
      <c r="AY169" s="330">
        <f t="shared" si="73"/>
        <v>0</v>
      </c>
      <c r="AZ169" s="330">
        <f t="shared" si="74"/>
        <v>0</v>
      </c>
      <c r="BA169" s="330">
        <f t="shared" si="75"/>
        <v>0</v>
      </c>
      <c r="BB169" s="330">
        <f t="shared" si="76"/>
        <v>0</v>
      </c>
      <c r="BC169" s="330">
        <f t="shared" si="77"/>
        <v>0</v>
      </c>
      <c r="BD169" s="330">
        <f t="shared" si="78"/>
        <v>0</v>
      </c>
      <c r="BE169" s="330">
        <f t="shared" si="93"/>
        <v>0</v>
      </c>
      <c r="BF169" s="330">
        <f t="shared" si="79"/>
        <v>0</v>
      </c>
      <c r="BG169" s="330">
        <f t="shared" si="80"/>
        <v>0</v>
      </c>
      <c r="BH169" s="330" t="str">
        <f t="shared" si="81"/>
        <v/>
      </c>
      <c r="BI169" s="330" t="str">
        <f t="shared" si="94"/>
        <v/>
      </c>
      <c r="BJ169" s="330" t="str">
        <f t="shared" si="95"/>
        <v/>
      </c>
      <c r="BK169" s="330" t="str">
        <f t="shared" si="82"/>
        <v/>
      </c>
      <c r="BL169" s="330" t="str">
        <f t="shared" si="83"/>
        <v/>
      </c>
      <c r="BM169" s="330" t="str">
        <f t="shared" si="96"/>
        <v/>
      </c>
      <c r="BN169" s="330" t="str">
        <f t="shared" si="100"/>
        <v/>
      </c>
      <c r="BO169" s="330">
        <f t="shared" si="84"/>
        <v>0</v>
      </c>
      <c r="BP169" s="330">
        <f t="shared" si="85"/>
        <v>0</v>
      </c>
      <c r="BQ169" s="330">
        <f t="shared" si="86"/>
        <v>0</v>
      </c>
      <c r="BR169" s="330" t="str">
        <f t="shared" si="87"/>
        <v/>
      </c>
      <c r="BS169" s="432" t="str">
        <f t="shared" si="97"/>
        <v/>
      </c>
    </row>
    <row r="170" spans="1:71">
      <c r="A170" s="592"/>
      <c r="B170" s="592"/>
      <c r="C170" s="592"/>
      <c r="D170" s="592"/>
      <c r="E170" s="592"/>
      <c r="F170" s="592"/>
      <c r="G170" s="592"/>
      <c r="H170" s="592"/>
      <c r="I170" s="592"/>
      <c r="J170" s="592"/>
      <c r="Q170" s="18"/>
      <c r="R170" s="18"/>
      <c r="S170" s="18"/>
      <c r="T170" s="18"/>
      <c r="U170" s="18"/>
      <c r="V170" s="18"/>
      <c r="W170" s="18"/>
      <c r="X170" s="18"/>
      <c r="Y170" s="18"/>
      <c r="Z170" s="18"/>
      <c r="AA170" s="18"/>
      <c r="AB170" s="18"/>
      <c r="AC170" s="18"/>
      <c r="AD170" s="18"/>
      <c r="AE170" s="18"/>
      <c r="AI170" s="364">
        <v>125</v>
      </c>
      <c r="AJ170" s="330">
        <f t="shared" si="65"/>
        <v>0</v>
      </c>
      <c r="AK170" s="344" t="str">
        <f t="shared" si="66"/>
        <v>None</v>
      </c>
      <c r="AL170" s="330">
        <f t="shared" si="101"/>
        <v>0</v>
      </c>
      <c r="AM170" s="336">
        <f t="shared" si="98"/>
        <v>0</v>
      </c>
      <c r="AN170" s="330">
        <f t="shared" si="102"/>
        <v>0</v>
      </c>
      <c r="AO170" s="437">
        <f t="shared" si="99"/>
        <v>0</v>
      </c>
      <c r="AP170" s="348" t="b">
        <f t="shared" si="67"/>
        <v>0</v>
      </c>
      <c r="AQ170" s="348">
        <f t="shared" si="68"/>
        <v>0</v>
      </c>
      <c r="AR170" s="348">
        <f t="shared" si="69"/>
        <v>0</v>
      </c>
      <c r="AS170" s="348">
        <f t="shared" si="70"/>
        <v>0</v>
      </c>
      <c r="AT170" s="348" t="str">
        <f t="shared" si="90"/>
        <v/>
      </c>
      <c r="AU170" s="348" t="str">
        <f t="shared" si="91"/>
        <v/>
      </c>
      <c r="AV170" s="348">
        <f t="shared" si="92"/>
        <v>0</v>
      </c>
      <c r="AW170" s="348">
        <f t="shared" si="71"/>
        <v>0</v>
      </c>
      <c r="AX170" s="348">
        <f t="shared" si="72"/>
        <v>0</v>
      </c>
      <c r="AY170" s="330">
        <f t="shared" si="73"/>
        <v>0</v>
      </c>
      <c r="AZ170" s="330">
        <f t="shared" si="74"/>
        <v>0</v>
      </c>
      <c r="BA170" s="330">
        <f t="shared" si="75"/>
        <v>0</v>
      </c>
      <c r="BB170" s="330">
        <f t="shared" si="76"/>
        <v>0</v>
      </c>
      <c r="BC170" s="330">
        <f t="shared" si="77"/>
        <v>0</v>
      </c>
      <c r="BD170" s="330">
        <f t="shared" si="78"/>
        <v>0</v>
      </c>
      <c r="BE170" s="330">
        <f t="shared" si="93"/>
        <v>0</v>
      </c>
      <c r="BF170" s="330">
        <f t="shared" si="79"/>
        <v>0</v>
      </c>
      <c r="BG170" s="330">
        <f t="shared" si="80"/>
        <v>0</v>
      </c>
      <c r="BH170" s="330" t="str">
        <f t="shared" si="81"/>
        <v/>
      </c>
      <c r="BI170" s="330" t="str">
        <f t="shared" si="94"/>
        <v/>
      </c>
      <c r="BJ170" s="330" t="str">
        <f t="shared" si="95"/>
        <v/>
      </c>
      <c r="BK170" s="330" t="str">
        <f t="shared" si="82"/>
        <v/>
      </c>
      <c r="BL170" s="330" t="str">
        <f t="shared" si="83"/>
        <v/>
      </c>
      <c r="BM170" s="330" t="str">
        <f t="shared" si="96"/>
        <v/>
      </c>
      <c r="BN170" s="330" t="str">
        <f t="shared" si="100"/>
        <v/>
      </c>
      <c r="BO170" s="330">
        <f t="shared" si="84"/>
        <v>0</v>
      </c>
      <c r="BP170" s="330">
        <f t="shared" si="85"/>
        <v>0</v>
      </c>
      <c r="BQ170" s="330">
        <f t="shared" si="86"/>
        <v>0</v>
      </c>
      <c r="BR170" s="330" t="str">
        <f t="shared" si="87"/>
        <v/>
      </c>
      <c r="BS170" s="432" t="str">
        <f t="shared" si="97"/>
        <v/>
      </c>
    </row>
    <row r="171" spans="1:71">
      <c r="A171" s="592"/>
      <c r="B171" s="592"/>
      <c r="C171" s="592"/>
      <c r="D171" s="592"/>
      <c r="E171" s="592"/>
      <c r="F171" s="592"/>
      <c r="G171" s="592"/>
      <c r="H171" s="592"/>
      <c r="I171" s="592"/>
      <c r="J171" s="592"/>
      <c r="Q171" s="18"/>
      <c r="R171" s="18"/>
      <c r="S171" s="18"/>
      <c r="T171" s="18"/>
      <c r="U171" s="18"/>
      <c r="V171" s="18"/>
      <c r="W171" s="18"/>
      <c r="X171" s="18"/>
      <c r="Y171" s="18"/>
      <c r="Z171" s="18"/>
      <c r="AA171" s="18"/>
      <c r="AB171" s="18"/>
      <c r="AC171" s="18"/>
      <c r="AD171" s="18"/>
      <c r="AE171" s="18"/>
      <c r="AI171" s="364">
        <v>126</v>
      </c>
      <c r="AJ171" s="330">
        <f t="shared" si="65"/>
        <v>0</v>
      </c>
      <c r="AK171" s="344" t="str">
        <f t="shared" si="66"/>
        <v>None</v>
      </c>
      <c r="AL171" s="330">
        <f t="shared" si="101"/>
        <v>0</v>
      </c>
      <c r="AM171" s="336">
        <f t="shared" si="98"/>
        <v>0</v>
      </c>
      <c r="AN171" s="330">
        <f t="shared" si="102"/>
        <v>0</v>
      </c>
      <c r="AO171" s="437">
        <f t="shared" si="99"/>
        <v>0</v>
      </c>
      <c r="AP171" s="348" t="b">
        <f t="shared" si="67"/>
        <v>0</v>
      </c>
      <c r="AQ171" s="348">
        <f t="shared" si="68"/>
        <v>0</v>
      </c>
      <c r="AR171" s="348">
        <f t="shared" si="69"/>
        <v>0</v>
      </c>
      <c r="AS171" s="348">
        <f t="shared" si="70"/>
        <v>0</v>
      </c>
      <c r="AT171" s="348" t="str">
        <f t="shared" si="90"/>
        <v/>
      </c>
      <c r="AU171" s="348" t="str">
        <f t="shared" si="91"/>
        <v/>
      </c>
      <c r="AV171" s="348">
        <f t="shared" si="92"/>
        <v>0</v>
      </c>
      <c r="AW171" s="348">
        <f t="shared" si="71"/>
        <v>0</v>
      </c>
      <c r="AX171" s="348">
        <f t="shared" si="72"/>
        <v>0</v>
      </c>
      <c r="AY171" s="330">
        <f t="shared" si="73"/>
        <v>0</v>
      </c>
      <c r="AZ171" s="330">
        <f t="shared" si="74"/>
        <v>0</v>
      </c>
      <c r="BA171" s="330">
        <f t="shared" si="75"/>
        <v>0</v>
      </c>
      <c r="BB171" s="330">
        <f t="shared" si="76"/>
        <v>0</v>
      </c>
      <c r="BC171" s="330">
        <f t="shared" si="77"/>
        <v>0</v>
      </c>
      <c r="BD171" s="330">
        <f t="shared" si="78"/>
        <v>0</v>
      </c>
      <c r="BE171" s="330">
        <f t="shared" si="93"/>
        <v>0</v>
      </c>
      <c r="BF171" s="330">
        <f t="shared" si="79"/>
        <v>0</v>
      </c>
      <c r="BG171" s="330">
        <f t="shared" si="80"/>
        <v>0</v>
      </c>
      <c r="BH171" s="330" t="str">
        <f t="shared" si="81"/>
        <v/>
      </c>
      <c r="BI171" s="330" t="str">
        <f t="shared" si="94"/>
        <v/>
      </c>
      <c r="BJ171" s="330" t="str">
        <f t="shared" si="95"/>
        <v/>
      </c>
      <c r="BK171" s="330" t="str">
        <f t="shared" si="82"/>
        <v/>
      </c>
      <c r="BL171" s="330" t="str">
        <f t="shared" si="83"/>
        <v/>
      </c>
      <c r="BM171" s="330" t="str">
        <f t="shared" si="96"/>
        <v/>
      </c>
      <c r="BN171" s="330" t="str">
        <f t="shared" si="100"/>
        <v/>
      </c>
      <c r="BO171" s="330">
        <f t="shared" si="84"/>
        <v>0</v>
      </c>
      <c r="BP171" s="330">
        <f t="shared" si="85"/>
        <v>0</v>
      </c>
      <c r="BQ171" s="330">
        <f t="shared" si="86"/>
        <v>0</v>
      </c>
      <c r="BR171" s="330" t="str">
        <f t="shared" si="87"/>
        <v/>
      </c>
      <c r="BS171" s="432" t="str">
        <f t="shared" si="97"/>
        <v/>
      </c>
    </row>
    <row r="172" spans="1:71">
      <c r="A172" s="592"/>
      <c r="B172" s="592"/>
      <c r="C172" s="592"/>
      <c r="D172" s="592"/>
      <c r="E172" s="592"/>
      <c r="F172" s="592"/>
      <c r="G172" s="592"/>
      <c r="H172" s="592"/>
      <c r="I172" s="592"/>
      <c r="J172" s="592"/>
      <c r="Q172" s="18"/>
      <c r="R172" s="18"/>
      <c r="S172" s="18"/>
      <c r="T172" s="18"/>
      <c r="U172" s="18"/>
      <c r="V172" s="18"/>
      <c r="W172" s="18"/>
      <c r="X172" s="18"/>
      <c r="Y172" s="18"/>
      <c r="Z172" s="18"/>
      <c r="AA172" s="18"/>
      <c r="AB172" s="18"/>
      <c r="AC172" s="18"/>
      <c r="AD172" s="18"/>
      <c r="AE172" s="18"/>
      <c r="AI172" s="364">
        <v>127</v>
      </c>
      <c r="AJ172" s="330">
        <f t="shared" si="65"/>
        <v>0</v>
      </c>
      <c r="AK172" s="344" t="str">
        <f t="shared" si="66"/>
        <v>None</v>
      </c>
      <c r="AL172" s="330">
        <f t="shared" si="101"/>
        <v>0</v>
      </c>
      <c r="AM172" s="336">
        <f t="shared" si="98"/>
        <v>0</v>
      </c>
      <c r="AN172" s="330">
        <f t="shared" si="102"/>
        <v>0</v>
      </c>
      <c r="AO172" s="437">
        <f t="shared" si="99"/>
        <v>0</v>
      </c>
      <c r="AP172" s="348" t="b">
        <f t="shared" si="67"/>
        <v>0</v>
      </c>
      <c r="AQ172" s="348">
        <f t="shared" si="68"/>
        <v>0</v>
      </c>
      <c r="AR172" s="348">
        <f t="shared" si="69"/>
        <v>0</v>
      </c>
      <c r="AS172" s="348">
        <f t="shared" si="70"/>
        <v>0</v>
      </c>
      <c r="AT172" s="348" t="str">
        <f t="shared" si="90"/>
        <v/>
      </c>
      <c r="AU172" s="348" t="str">
        <f t="shared" si="91"/>
        <v/>
      </c>
      <c r="AV172" s="348">
        <f t="shared" si="92"/>
        <v>0</v>
      </c>
      <c r="AW172" s="348">
        <f t="shared" si="71"/>
        <v>0</v>
      </c>
      <c r="AX172" s="348">
        <f t="shared" si="72"/>
        <v>0</v>
      </c>
      <c r="AY172" s="330">
        <f t="shared" si="73"/>
        <v>0</v>
      </c>
      <c r="AZ172" s="330">
        <f t="shared" si="74"/>
        <v>0</v>
      </c>
      <c r="BA172" s="330">
        <f t="shared" si="75"/>
        <v>0</v>
      </c>
      <c r="BB172" s="330">
        <f t="shared" si="76"/>
        <v>0</v>
      </c>
      <c r="BC172" s="330">
        <f t="shared" si="77"/>
        <v>0</v>
      </c>
      <c r="BD172" s="330">
        <f t="shared" si="78"/>
        <v>0</v>
      </c>
      <c r="BE172" s="330">
        <f t="shared" si="93"/>
        <v>0</v>
      </c>
      <c r="BF172" s="330">
        <f t="shared" si="79"/>
        <v>0</v>
      </c>
      <c r="BG172" s="330">
        <f t="shared" si="80"/>
        <v>0</v>
      </c>
      <c r="BH172" s="330" t="str">
        <f t="shared" si="81"/>
        <v/>
      </c>
      <c r="BI172" s="330" t="str">
        <f t="shared" si="94"/>
        <v/>
      </c>
      <c r="BJ172" s="330" t="str">
        <f t="shared" si="95"/>
        <v/>
      </c>
      <c r="BK172" s="330" t="str">
        <f t="shared" si="82"/>
        <v/>
      </c>
      <c r="BL172" s="330" t="str">
        <f t="shared" si="83"/>
        <v/>
      </c>
      <c r="BM172" s="330" t="str">
        <f t="shared" si="96"/>
        <v/>
      </c>
      <c r="BN172" s="330" t="str">
        <f t="shared" si="100"/>
        <v/>
      </c>
      <c r="BO172" s="330">
        <f t="shared" si="84"/>
        <v>0</v>
      </c>
      <c r="BP172" s="330">
        <f t="shared" si="85"/>
        <v>0</v>
      </c>
      <c r="BQ172" s="330">
        <f t="shared" si="86"/>
        <v>0</v>
      </c>
      <c r="BR172" s="330" t="str">
        <f t="shared" si="87"/>
        <v/>
      </c>
      <c r="BS172" s="432" t="str">
        <f t="shared" si="97"/>
        <v/>
      </c>
    </row>
    <row r="173" spans="1:71">
      <c r="A173" s="592"/>
      <c r="B173" s="592"/>
      <c r="C173" s="592"/>
      <c r="D173" s="592"/>
      <c r="E173" s="592"/>
      <c r="F173" s="592"/>
      <c r="G173" s="592"/>
      <c r="H173" s="592"/>
      <c r="I173" s="592"/>
      <c r="J173" s="592"/>
      <c r="Q173" s="18"/>
      <c r="R173" s="18"/>
      <c r="S173" s="18"/>
      <c r="T173" s="18"/>
      <c r="U173" s="18"/>
      <c r="V173" s="18"/>
      <c r="W173" s="18"/>
      <c r="X173" s="18"/>
      <c r="Y173" s="18"/>
      <c r="Z173" s="18"/>
      <c r="AA173" s="18"/>
      <c r="AB173" s="18"/>
      <c r="AC173" s="18"/>
      <c r="AD173" s="18"/>
      <c r="AE173" s="18"/>
      <c r="AI173" s="364">
        <v>128</v>
      </c>
      <c r="AJ173" s="330">
        <f t="shared" ref="AJ173:AJ236" si="103">($AI173/$AI$245)*$AJ$245</f>
        <v>0</v>
      </c>
      <c r="AK173" s="344" t="str">
        <f t="shared" ref="AK173:AK236" si="104">IF(OR($C$19="",$F$25="",$G$25=""),"None",IF(AL173&lt;$B$14,"Left Floodplain",IF(AL173&lt;$B$15,"Left Bank",IF(AL173&lt;$B$16,"Left Stream Bed",IF(AL173&lt;$B$17,"Right Stream Bed",IF(AL173&lt;$B$18,"Right Bank","Right Floodplain"))))))</f>
        <v>None</v>
      </c>
      <c r="AL173" s="330">
        <f t="shared" si="101"/>
        <v>0</v>
      </c>
      <c r="AM173" s="336">
        <f t="shared" si="98"/>
        <v>0</v>
      </c>
      <c r="AN173" s="330">
        <f t="shared" si="102"/>
        <v>0</v>
      </c>
      <c r="AO173" s="437">
        <f t="shared" si="99"/>
        <v>0</v>
      </c>
      <c r="AP173" s="348" t="b">
        <f t="shared" ref="AP173:AP236" si="105">IF($AL173&lt;$B$14,(($AL173-$B$13)*$AB$31)+$C$13,IF($AL173&lt;$B$15,(($AL173-$B$14)*$AB$32)+$C$14,IF($AL173&lt;$B$16,(($AL173-$B$15)*$AB$33)+$C$15,IF($AL173&lt;$B$17,(($AL173-$B$16)*$AB$34)+$C$16,IF($AL173&lt;$B$18,(($AL173-$B$17)*$AB$35)+$C$17,IF($AL173&lt;$B$19,(($AL173-$B$18)*$AB$36)+$C$18))))))</f>
        <v>0</v>
      </c>
      <c r="AQ173" s="348">
        <f t="shared" ref="AQ173:AQ236" si="106">IF(OR($AP173&lt;$AE$12,$AP173&lt;=$AM173),0,IF(OR($AP173&gt;=$AE$12,$AM173&gt;=$AE$12),$AP173-$AM173-$AR173,$AP173-$AE$12))</f>
        <v>0</v>
      </c>
      <c r="AR173" s="348">
        <f t="shared" ref="AR173:AR236" si="107">IF($AP173&lt;=$AM173,0,IF($AM173&gt;=$AE$12,0,IF($AP173&lt;=$AE$12,$AP173-$AM173,$AE$12-$AM173)))</f>
        <v>0</v>
      </c>
      <c r="AS173" s="348">
        <f t="shared" ref="AS173:AS236" si="108">IF(AP173&lt;=AM173,0,AP173-AM173)</f>
        <v>0</v>
      </c>
      <c r="AT173" s="348" t="str">
        <f t="shared" si="90"/>
        <v/>
      </c>
      <c r="AU173" s="348" t="str">
        <f t="shared" si="91"/>
        <v/>
      </c>
      <c r="AV173" s="348">
        <f t="shared" si="92"/>
        <v>0</v>
      </c>
      <c r="AW173" s="348">
        <f t="shared" ref="AW173:AW236" si="109">IF($AP173&lt;=$AO173,0,IF($AO173&gt;=$AE$12,0,IF($AP173&lt;=$AE$12,$AP173-$AO173,$AE$12-$AO173)))</f>
        <v>0</v>
      </c>
      <c r="AX173" s="348">
        <f t="shared" ref="AX173:AX236" si="110">IF(AP173&lt;=AO173,0,AP173-AO173)</f>
        <v>0</v>
      </c>
      <c r="AY173" s="330">
        <f t="shared" ref="AY173:AY236" si="111">IF($AS173=0,0,IF(OR($AJ173=0,$AJ173=$E$22),$AJ$46/2,$AJ$46))</f>
        <v>0</v>
      </c>
      <c r="AZ173" s="330">
        <f t="shared" ref="AZ173:AZ236" si="112">IF(OR($AK173="Left Stream Bed",$AK173="Right Stream Bed"),$F$22*$AQ173*$AY173,0)</f>
        <v>0</v>
      </c>
      <c r="BA173" s="330">
        <f t="shared" ref="BA173:BA236" si="113">IF(OR($AK173="Left Stream Bed",$AK173="Right Stream Bed"),$F$22*$AR173*$AY173,0)</f>
        <v>0</v>
      </c>
      <c r="BB173" s="330">
        <f t="shared" ref="BB173:BB236" si="114">IF(OR($AK173="Left Floodplain",$AK173="Left Bank",$AK173="Right Bank",$AK173="Right Floodplain"),$F$22*$AQ173*$AY173,0)</f>
        <v>0</v>
      </c>
      <c r="BC173" s="330">
        <f t="shared" ref="BC173:BC236" si="115">IF(OR($AK173="Left Floodplain",$AK173="Left Bank",$AK173="Right Bank",$AK173="Right Floodplain"),$F$22*$AR173*$AY173,0)</f>
        <v>0</v>
      </c>
      <c r="BD173" s="330">
        <f t="shared" ref="BD173:BD236" si="116">AX173-AS173</f>
        <v>0</v>
      </c>
      <c r="BE173" s="330">
        <f t="shared" si="93"/>
        <v>0</v>
      </c>
      <c r="BF173" s="330">
        <f t="shared" ref="BF173:BF236" si="117">AV173-AQ173</f>
        <v>0</v>
      </c>
      <c r="BG173" s="330">
        <f t="shared" ref="BG173:BG236" si="118">IF(OR($AJ173=0,$AJ173=$E$22),($BF173*$AJ$46/2)*ABS($M$17),$BF173*$AJ$46*ABS($M$17))</f>
        <v>0</v>
      </c>
      <c r="BH173" s="330" t="str">
        <f t="shared" ref="BH173:BH236" si="119">IF(OR($AM173&lt;$AP173,$AO173&gt;$AE$8),"",IF(OR($AJ173=0,$AJ173=$E$22),$AJ$46/2,$AJ$46))</f>
        <v/>
      </c>
      <c r="BI173" s="330" t="str">
        <f t="shared" si="94"/>
        <v/>
      </c>
      <c r="BJ173" s="330" t="str">
        <f t="shared" si="95"/>
        <v/>
      </c>
      <c r="BK173" s="330" t="str">
        <f t="shared" ref="BK173:BK236" si="120">IF($BJ173="","",IF(OR($BJ173&gt;($F$22/2),$BJ173=0),0,0.45-($BJ173*0.45/($F$22/2))))</f>
        <v/>
      </c>
      <c r="BL173" s="330" t="str">
        <f t="shared" ref="BL173:BL236" si="121">IF($BK173="","",IF($BK173&gt;0,$AJ173,""))</f>
        <v/>
      </c>
      <c r="BM173" s="330" t="str">
        <f t="shared" si="96"/>
        <v/>
      </c>
      <c r="BN173" s="330" t="str">
        <f t="shared" si="100"/>
        <v/>
      </c>
      <c r="BO173" s="330">
        <f t="shared" ref="BO173:BO236" si="122">IF($AO173=0,0,IF($AO173&gt;$AP173,0,IF(OR($AJ173=0,$AJ173=$E$22),$AJ$46/2,$AJ$46)))</f>
        <v>0</v>
      </c>
      <c r="BP173" s="330">
        <f t="shared" ref="BP173:BP236" si="123">IF(AND($BO173&gt;0,OR($AK173="Left Stream Bed",$AK173="Right Stream Bed")),$BO173,0)</f>
        <v>0</v>
      </c>
      <c r="BQ173" s="330">
        <f t="shared" ref="BQ173:BQ236" si="124">IF(AND($BO173&gt;0,OR($AK173="Left Floodplain",$AK173="Left Bank",$AK173="Right Bank",$AK173="Right Floodplain")),$BO173,0)</f>
        <v>0</v>
      </c>
      <c r="BR173" s="330" t="str">
        <f t="shared" ref="BR173:BR236" si="125">IF($BO173&gt;0,$AJ173,"")</f>
        <v/>
      </c>
      <c r="BS173" s="432" t="str">
        <f t="shared" si="97"/>
        <v/>
      </c>
    </row>
    <row r="174" spans="1:71">
      <c r="A174" s="592"/>
      <c r="B174" s="592"/>
      <c r="C174" s="592"/>
      <c r="D174" s="592"/>
      <c r="E174" s="592"/>
      <c r="F174" s="592"/>
      <c r="G174" s="592"/>
      <c r="H174" s="592"/>
      <c r="I174" s="592"/>
      <c r="J174" s="592"/>
      <c r="Q174" s="18"/>
      <c r="R174" s="18"/>
      <c r="S174" s="18"/>
      <c r="T174" s="18"/>
      <c r="U174" s="18"/>
      <c r="V174" s="18"/>
      <c r="W174" s="18"/>
      <c r="X174" s="18"/>
      <c r="Y174" s="18"/>
      <c r="Z174" s="18"/>
      <c r="AA174" s="18"/>
      <c r="AB174" s="18"/>
      <c r="AC174" s="18"/>
      <c r="AD174" s="18"/>
      <c r="AE174" s="18"/>
      <c r="AI174" s="364">
        <v>129</v>
      </c>
      <c r="AJ174" s="330">
        <f t="shared" si="103"/>
        <v>0</v>
      </c>
      <c r="AK174" s="344" t="str">
        <f t="shared" si="104"/>
        <v>None</v>
      </c>
      <c r="AL174" s="330">
        <f t="shared" ref="AL174:AL205" si="126">$AL$45+ABS(AJ174*$M$19*$M$17)</f>
        <v>0</v>
      </c>
      <c r="AM174" s="336">
        <f t="shared" si="98"/>
        <v>0</v>
      </c>
      <c r="AN174" s="330">
        <f t="shared" ref="AN174:AN205" si="127">$AN$45+ABS(AJ174*$M$19*$M$17)</f>
        <v>0</v>
      </c>
      <c r="AO174" s="437">
        <f t="shared" si="99"/>
        <v>0</v>
      </c>
      <c r="AP174" s="348" t="b">
        <f t="shared" si="105"/>
        <v>0</v>
      </c>
      <c r="AQ174" s="348">
        <f t="shared" si="106"/>
        <v>0</v>
      </c>
      <c r="AR174" s="348">
        <f t="shared" si="107"/>
        <v>0</v>
      </c>
      <c r="AS174" s="348">
        <f t="shared" si="108"/>
        <v>0</v>
      </c>
      <c r="AT174" s="348" t="str">
        <f t="shared" ref="AT174:AT237" si="128">IF(OR($AS174="",$AS174=0),"",IF(OR($AK174="Left Stream Bed",$AK174="Right Stream Bed"),$AS174,""))</f>
        <v/>
      </c>
      <c r="AU174" s="348" t="str">
        <f t="shared" ref="AU174:AU237" si="129">IF(OR($AS174="",$AS174=0),"",IF(OR($AK174="Left Floodplain",$AK174="Left Bank",$AK174="Right Bank",$AK174="Right Floodplain"),$AS174,""))</f>
        <v/>
      </c>
      <c r="AV174" s="348">
        <f t="shared" ref="AV174:AV237" si="130">IF(OR($AP174&lt;$AE$12,$AP174&lt;=$AO174),0,IF($AO174&gt;=$AE$12,$AP174-$AO174,$AP174-$AE$12))</f>
        <v>0</v>
      </c>
      <c r="AW174" s="348">
        <f t="shared" si="109"/>
        <v>0</v>
      </c>
      <c r="AX174" s="348">
        <f t="shared" si="110"/>
        <v>0</v>
      </c>
      <c r="AY174" s="330">
        <f t="shared" si="111"/>
        <v>0</v>
      </c>
      <c r="AZ174" s="330">
        <f t="shared" si="112"/>
        <v>0</v>
      </c>
      <c r="BA174" s="330">
        <f t="shared" si="113"/>
        <v>0</v>
      </c>
      <c r="BB174" s="330">
        <f t="shared" si="114"/>
        <v>0</v>
      </c>
      <c r="BC174" s="330">
        <f t="shared" si="115"/>
        <v>0</v>
      </c>
      <c r="BD174" s="330">
        <f t="shared" si="116"/>
        <v>0</v>
      </c>
      <c r="BE174" s="330">
        <f t="shared" ref="BE174:BE237" si="131">$BD174*$AJ$46*ABS($M$17)</f>
        <v>0</v>
      </c>
      <c r="BF174" s="330">
        <f t="shared" si="117"/>
        <v>0</v>
      </c>
      <c r="BG174" s="330">
        <f t="shared" si="118"/>
        <v>0</v>
      </c>
      <c r="BH174" s="330" t="str">
        <f t="shared" si="119"/>
        <v/>
      </c>
      <c r="BI174" s="330" t="str">
        <f t="shared" ref="BI174:BI237" si="132">IF($BH174="","",IF($BH174&gt;0,$AJ174,""))</f>
        <v/>
      </c>
      <c r="BJ174" s="330" t="str">
        <f t="shared" ref="BJ174:BJ237" si="133">IF($BH174="","",IF(OR(($AO174-$AP174)&lt;0,$AO$45&gt;=$AE$8),0,($AO174-$AP174)))</f>
        <v/>
      </c>
      <c r="BK174" s="330" t="str">
        <f t="shared" si="120"/>
        <v/>
      </c>
      <c r="BL174" s="330" t="str">
        <f t="shared" si="121"/>
        <v/>
      </c>
      <c r="BM174" s="330" t="str">
        <f t="shared" ref="BM174:BM237" si="134">IF($BH174="","",IF(OR(($AM174-$AP174)&lt;0,$AM174&gt;=$AE$8),"",($AE$8-($AM174-(($F$22/2)/$M$19)))))</f>
        <v/>
      </c>
      <c r="BN174" s="330" t="str">
        <f t="shared" si="100"/>
        <v/>
      </c>
      <c r="BO174" s="330">
        <f t="shared" si="122"/>
        <v>0</v>
      </c>
      <c r="BP174" s="330">
        <f t="shared" si="123"/>
        <v>0</v>
      </c>
      <c r="BQ174" s="330">
        <f t="shared" si="124"/>
        <v>0</v>
      </c>
      <c r="BR174" s="330" t="str">
        <f t="shared" si="125"/>
        <v/>
      </c>
      <c r="BS174" s="432" t="str">
        <f t="shared" ref="BS174:BS237" si="135">IF($AY174&gt;0,$AJ174,"")</f>
        <v/>
      </c>
    </row>
    <row r="175" spans="1:71">
      <c r="A175" s="592"/>
      <c r="B175" s="592"/>
      <c r="C175" s="592"/>
      <c r="D175" s="592"/>
      <c r="E175" s="592"/>
      <c r="F175" s="592"/>
      <c r="G175" s="592"/>
      <c r="H175" s="592"/>
      <c r="I175" s="592"/>
      <c r="J175" s="592"/>
      <c r="Q175" s="18"/>
      <c r="R175" s="18"/>
      <c r="S175" s="18"/>
      <c r="T175" s="18"/>
      <c r="U175" s="18"/>
      <c r="V175" s="18"/>
      <c r="W175" s="18"/>
      <c r="X175" s="18"/>
      <c r="Y175" s="18"/>
      <c r="Z175" s="18"/>
      <c r="AA175" s="18"/>
      <c r="AB175" s="18"/>
      <c r="AC175" s="18"/>
      <c r="AD175" s="18"/>
      <c r="AE175" s="18"/>
      <c r="AI175" s="364">
        <v>130</v>
      </c>
      <c r="AJ175" s="330">
        <f t="shared" si="103"/>
        <v>0</v>
      </c>
      <c r="AK175" s="344" t="str">
        <f t="shared" si="104"/>
        <v>None</v>
      </c>
      <c r="AL175" s="330">
        <f t="shared" si="126"/>
        <v>0</v>
      </c>
      <c r="AM175" s="336">
        <f t="shared" ref="AM175:AM238" si="136">AM174+((AL175-AL174)*$AA$40)</f>
        <v>0</v>
      </c>
      <c r="AN175" s="330">
        <f t="shared" si="127"/>
        <v>0</v>
      </c>
      <c r="AO175" s="437">
        <f t="shared" ref="AO175:AO238" si="137">AO174+((AN175-AN174)*$AA$40)</f>
        <v>0</v>
      </c>
      <c r="AP175" s="348" t="b">
        <f t="shared" si="105"/>
        <v>0</v>
      </c>
      <c r="AQ175" s="348">
        <f t="shared" si="106"/>
        <v>0</v>
      </c>
      <c r="AR175" s="348">
        <f t="shared" si="107"/>
        <v>0</v>
      </c>
      <c r="AS175" s="348">
        <f t="shared" si="108"/>
        <v>0</v>
      </c>
      <c r="AT175" s="348" t="str">
        <f t="shared" si="128"/>
        <v/>
      </c>
      <c r="AU175" s="348" t="str">
        <f t="shared" si="129"/>
        <v/>
      </c>
      <c r="AV175" s="348">
        <f t="shared" si="130"/>
        <v>0</v>
      </c>
      <c r="AW175" s="348">
        <f t="shared" si="109"/>
        <v>0</v>
      </c>
      <c r="AX175" s="348">
        <f t="shared" si="110"/>
        <v>0</v>
      </c>
      <c r="AY175" s="330">
        <f t="shared" si="111"/>
        <v>0</v>
      </c>
      <c r="AZ175" s="330">
        <f t="shared" si="112"/>
        <v>0</v>
      </c>
      <c r="BA175" s="330">
        <f t="shared" si="113"/>
        <v>0</v>
      </c>
      <c r="BB175" s="330">
        <f t="shared" si="114"/>
        <v>0</v>
      </c>
      <c r="BC175" s="330">
        <f t="shared" si="115"/>
        <v>0</v>
      </c>
      <c r="BD175" s="330">
        <f t="shared" si="116"/>
        <v>0</v>
      </c>
      <c r="BE175" s="330">
        <f t="shared" si="131"/>
        <v>0</v>
      </c>
      <c r="BF175" s="330">
        <f t="shared" si="117"/>
        <v>0</v>
      </c>
      <c r="BG175" s="330">
        <f t="shared" si="118"/>
        <v>0</v>
      </c>
      <c r="BH175" s="330" t="str">
        <f t="shared" si="119"/>
        <v/>
      </c>
      <c r="BI175" s="330" t="str">
        <f t="shared" si="132"/>
        <v/>
      </c>
      <c r="BJ175" s="330" t="str">
        <f t="shared" si="133"/>
        <v/>
      </c>
      <c r="BK175" s="330" t="str">
        <f t="shared" si="120"/>
        <v/>
      </c>
      <c r="BL175" s="330" t="str">
        <f t="shared" si="121"/>
        <v/>
      </c>
      <c r="BM175" s="330" t="str">
        <f t="shared" si="134"/>
        <v/>
      </c>
      <c r="BN175" s="330" t="str">
        <f t="shared" ref="BN175:BN238" si="138">IF($BM175="","",(((PI()^2)/32)*($B$66^-6)*EXP(-($BM175/$F$22)/(2*($B$66^2)))))</f>
        <v/>
      </c>
      <c r="BO175" s="330">
        <f t="shared" si="122"/>
        <v>0</v>
      </c>
      <c r="BP175" s="330">
        <f t="shared" si="123"/>
        <v>0</v>
      </c>
      <c r="BQ175" s="330">
        <f t="shared" si="124"/>
        <v>0</v>
      </c>
      <c r="BR175" s="330" t="str">
        <f t="shared" si="125"/>
        <v/>
      </c>
      <c r="BS175" s="432" t="str">
        <f t="shared" si="135"/>
        <v/>
      </c>
    </row>
    <row r="176" spans="1:71">
      <c r="A176" s="592"/>
      <c r="B176" s="592"/>
      <c r="C176" s="592"/>
      <c r="D176" s="592"/>
      <c r="E176" s="592"/>
      <c r="F176" s="592"/>
      <c r="G176" s="592"/>
      <c r="H176" s="592"/>
      <c r="I176" s="592"/>
      <c r="J176" s="592"/>
      <c r="Q176" s="18"/>
      <c r="R176" s="18"/>
      <c r="S176" s="18"/>
      <c r="T176" s="18"/>
      <c r="U176" s="18"/>
      <c r="V176" s="18"/>
      <c r="W176" s="18"/>
      <c r="X176" s="18"/>
      <c r="Y176" s="18"/>
      <c r="Z176" s="18"/>
      <c r="AA176" s="18"/>
      <c r="AB176" s="18"/>
      <c r="AC176" s="18"/>
      <c r="AD176" s="18"/>
      <c r="AE176" s="18"/>
      <c r="AI176" s="364">
        <v>131</v>
      </c>
      <c r="AJ176" s="330">
        <f t="shared" si="103"/>
        <v>0</v>
      </c>
      <c r="AK176" s="344" t="str">
        <f t="shared" si="104"/>
        <v>None</v>
      </c>
      <c r="AL176" s="330">
        <f t="shared" si="126"/>
        <v>0</v>
      </c>
      <c r="AM176" s="336">
        <f t="shared" si="136"/>
        <v>0</v>
      </c>
      <c r="AN176" s="330">
        <f t="shared" si="127"/>
        <v>0</v>
      </c>
      <c r="AO176" s="437">
        <f t="shared" si="137"/>
        <v>0</v>
      </c>
      <c r="AP176" s="348" t="b">
        <f t="shared" si="105"/>
        <v>0</v>
      </c>
      <c r="AQ176" s="348">
        <f t="shared" si="106"/>
        <v>0</v>
      </c>
      <c r="AR176" s="348">
        <f t="shared" si="107"/>
        <v>0</v>
      </c>
      <c r="AS176" s="348">
        <f t="shared" si="108"/>
        <v>0</v>
      </c>
      <c r="AT176" s="348" t="str">
        <f t="shared" si="128"/>
        <v/>
      </c>
      <c r="AU176" s="348" t="str">
        <f t="shared" si="129"/>
        <v/>
      </c>
      <c r="AV176" s="348">
        <f t="shared" si="130"/>
        <v>0</v>
      </c>
      <c r="AW176" s="348">
        <f t="shared" si="109"/>
        <v>0</v>
      </c>
      <c r="AX176" s="348">
        <f t="shared" si="110"/>
        <v>0</v>
      </c>
      <c r="AY176" s="330">
        <f t="shared" si="111"/>
        <v>0</v>
      </c>
      <c r="AZ176" s="330">
        <f t="shared" si="112"/>
        <v>0</v>
      </c>
      <c r="BA176" s="330">
        <f t="shared" si="113"/>
        <v>0</v>
      </c>
      <c r="BB176" s="330">
        <f t="shared" si="114"/>
        <v>0</v>
      </c>
      <c r="BC176" s="330">
        <f t="shared" si="115"/>
        <v>0</v>
      </c>
      <c r="BD176" s="330">
        <f t="shared" si="116"/>
        <v>0</v>
      </c>
      <c r="BE176" s="330">
        <f t="shared" si="131"/>
        <v>0</v>
      </c>
      <c r="BF176" s="330">
        <f t="shared" si="117"/>
        <v>0</v>
      </c>
      <c r="BG176" s="330">
        <f t="shared" si="118"/>
        <v>0</v>
      </c>
      <c r="BH176" s="330" t="str">
        <f t="shared" si="119"/>
        <v/>
      </c>
      <c r="BI176" s="330" t="str">
        <f t="shared" si="132"/>
        <v/>
      </c>
      <c r="BJ176" s="330" t="str">
        <f t="shared" si="133"/>
        <v/>
      </c>
      <c r="BK176" s="330" t="str">
        <f t="shared" si="120"/>
        <v/>
      </c>
      <c r="BL176" s="330" t="str">
        <f t="shared" si="121"/>
        <v/>
      </c>
      <c r="BM176" s="330" t="str">
        <f t="shared" si="134"/>
        <v/>
      </c>
      <c r="BN176" s="330" t="str">
        <f t="shared" si="138"/>
        <v/>
      </c>
      <c r="BO176" s="330">
        <f t="shared" si="122"/>
        <v>0</v>
      </c>
      <c r="BP176" s="330">
        <f t="shared" si="123"/>
        <v>0</v>
      </c>
      <c r="BQ176" s="330">
        <f t="shared" si="124"/>
        <v>0</v>
      </c>
      <c r="BR176" s="330" t="str">
        <f t="shared" si="125"/>
        <v/>
      </c>
      <c r="BS176" s="432" t="str">
        <f t="shared" si="135"/>
        <v/>
      </c>
    </row>
    <row r="177" spans="1:71">
      <c r="A177" s="592"/>
      <c r="B177" s="592"/>
      <c r="C177" s="592"/>
      <c r="D177" s="592"/>
      <c r="E177" s="592"/>
      <c r="F177" s="592"/>
      <c r="G177" s="592"/>
      <c r="H177" s="592"/>
      <c r="I177" s="592"/>
      <c r="J177" s="592"/>
      <c r="AI177" s="364">
        <v>132</v>
      </c>
      <c r="AJ177" s="330">
        <f t="shared" si="103"/>
        <v>0</v>
      </c>
      <c r="AK177" s="344" t="str">
        <f t="shared" si="104"/>
        <v>None</v>
      </c>
      <c r="AL177" s="330">
        <f t="shared" si="126"/>
        <v>0</v>
      </c>
      <c r="AM177" s="336">
        <f t="shared" si="136"/>
        <v>0</v>
      </c>
      <c r="AN177" s="330">
        <f t="shared" si="127"/>
        <v>0</v>
      </c>
      <c r="AO177" s="437">
        <f t="shared" si="137"/>
        <v>0</v>
      </c>
      <c r="AP177" s="348" t="b">
        <f t="shared" si="105"/>
        <v>0</v>
      </c>
      <c r="AQ177" s="348">
        <f t="shared" si="106"/>
        <v>0</v>
      </c>
      <c r="AR177" s="348">
        <f t="shared" si="107"/>
        <v>0</v>
      </c>
      <c r="AS177" s="348">
        <f t="shared" si="108"/>
        <v>0</v>
      </c>
      <c r="AT177" s="348" t="str">
        <f t="shared" si="128"/>
        <v/>
      </c>
      <c r="AU177" s="348" t="str">
        <f t="shared" si="129"/>
        <v/>
      </c>
      <c r="AV177" s="348">
        <f t="shared" si="130"/>
        <v>0</v>
      </c>
      <c r="AW177" s="348">
        <f t="shared" si="109"/>
        <v>0</v>
      </c>
      <c r="AX177" s="348">
        <f t="shared" si="110"/>
        <v>0</v>
      </c>
      <c r="AY177" s="330">
        <f t="shared" si="111"/>
        <v>0</v>
      </c>
      <c r="AZ177" s="330">
        <f t="shared" si="112"/>
        <v>0</v>
      </c>
      <c r="BA177" s="330">
        <f t="shared" si="113"/>
        <v>0</v>
      </c>
      <c r="BB177" s="330">
        <f t="shared" si="114"/>
        <v>0</v>
      </c>
      <c r="BC177" s="330">
        <f t="shared" si="115"/>
        <v>0</v>
      </c>
      <c r="BD177" s="330">
        <f t="shared" si="116"/>
        <v>0</v>
      </c>
      <c r="BE177" s="330">
        <f t="shared" si="131"/>
        <v>0</v>
      </c>
      <c r="BF177" s="330">
        <f t="shared" si="117"/>
        <v>0</v>
      </c>
      <c r="BG177" s="330">
        <f t="shared" si="118"/>
        <v>0</v>
      </c>
      <c r="BH177" s="330" t="str">
        <f t="shared" si="119"/>
        <v/>
      </c>
      <c r="BI177" s="330" t="str">
        <f t="shared" si="132"/>
        <v/>
      </c>
      <c r="BJ177" s="330" t="str">
        <f t="shared" si="133"/>
        <v/>
      </c>
      <c r="BK177" s="330" t="str">
        <f t="shared" si="120"/>
        <v/>
      </c>
      <c r="BL177" s="330" t="str">
        <f t="shared" si="121"/>
        <v/>
      </c>
      <c r="BM177" s="330" t="str">
        <f t="shared" si="134"/>
        <v/>
      </c>
      <c r="BN177" s="330" t="str">
        <f t="shared" si="138"/>
        <v/>
      </c>
      <c r="BO177" s="330">
        <f t="shared" si="122"/>
        <v>0</v>
      </c>
      <c r="BP177" s="330">
        <f t="shared" si="123"/>
        <v>0</v>
      </c>
      <c r="BQ177" s="330">
        <f t="shared" si="124"/>
        <v>0</v>
      </c>
      <c r="BR177" s="330" t="str">
        <f t="shared" si="125"/>
        <v/>
      </c>
      <c r="BS177" s="432" t="str">
        <f t="shared" si="135"/>
        <v/>
      </c>
    </row>
    <row r="178" spans="1:71">
      <c r="A178" s="592"/>
      <c r="B178" s="592"/>
      <c r="C178" s="592"/>
      <c r="D178" s="592"/>
      <c r="E178" s="592"/>
      <c r="F178" s="592"/>
      <c r="G178" s="592"/>
      <c r="H178" s="592"/>
      <c r="I178" s="592"/>
      <c r="J178" s="592"/>
      <c r="AI178" s="364">
        <v>133</v>
      </c>
      <c r="AJ178" s="330">
        <f t="shared" si="103"/>
        <v>0</v>
      </c>
      <c r="AK178" s="344" t="str">
        <f t="shared" si="104"/>
        <v>None</v>
      </c>
      <c r="AL178" s="330">
        <f t="shared" si="126"/>
        <v>0</v>
      </c>
      <c r="AM178" s="336">
        <f t="shared" si="136"/>
        <v>0</v>
      </c>
      <c r="AN178" s="330">
        <f t="shared" si="127"/>
        <v>0</v>
      </c>
      <c r="AO178" s="437">
        <f t="shared" si="137"/>
        <v>0</v>
      </c>
      <c r="AP178" s="348" t="b">
        <f t="shared" si="105"/>
        <v>0</v>
      </c>
      <c r="AQ178" s="348">
        <f t="shared" si="106"/>
        <v>0</v>
      </c>
      <c r="AR178" s="348">
        <f t="shared" si="107"/>
        <v>0</v>
      </c>
      <c r="AS178" s="348">
        <f t="shared" si="108"/>
        <v>0</v>
      </c>
      <c r="AT178" s="348" t="str">
        <f t="shared" si="128"/>
        <v/>
      </c>
      <c r="AU178" s="348" t="str">
        <f t="shared" si="129"/>
        <v/>
      </c>
      <c r="AV178" s="348">
        <f t="shared" si="130"/>
        <v>0</v>
      </c>
      <c r="AW178" s="348">
        <f t="shared" si="109"/>
        <v>0</v>
      </c>
      <c r="AX178" s="348">
        <f t="shared" si="110"/>
        <v>0</v>
      </c>
      <c r="AY178" s="330">
        <f t="shared" si="111"/>
        <v>0</v>
      </c>
      <c r="AZ178" s="330">
        <f t="shared" si="112"/>
        <v>0</v>
      </c>
      <c r="BA178" s="330">
        <f t="shared" si="113"/>
        <v>0</v>
      </c>
      <c r="BB178" s="330">
        <f t="shared" si="114"/>
        <v>0</v>
      </c>
      <c r="BC178" s="330">
        <f t="shared" si="115"/>
        <v>0</v>
      </c>
      <c r="BD178" s="330">
        <f t="shared" si="116"/>
        <v>0</v>
      </c>
      <c r="BE178" s="330">
        <f t="shared" si="131"/>
        <v>0</v>
      </c>
      <c r="BF178" s="330">
        <f t="shared" si="117"/>
        <v>0</v>
      </c>
      <c r="BG178" s="330">
        <f t="shared" si="118"/>
        <v>0</v>
      </c>
      <c r="BH178" s="330" t="str">
        <f t="shared" si="119"/>
        <v/>
      </c>
      <c r="BI178" s="330" t="str">
        <f t="shared" si="132"/>
        <v/>
      </c>
      <c r="BJ178" s="330" t="str">
        <f t="shared" si="133"/>
        <v/>
      </c>
      <c r="BK178" s="330" t="str">
        <f t="shared" si="120"/>
        <v/>
      </c>
      <c r="BL178" s="330" t="str">
        <f t="shared" si="121"/>
        <v/>
      </c>
      <c r="BM178" s="330" t="str">
        <f t="shared" si="134"/>
        <v/>
      </c>
      <c r="BN178" s="330" t="str">
        <f t="shared" si="138"/>
        <v/>
      </c>
      <c r="BO178" s="330">
        <f t="shared" si="122"/>
        <v>0</v>
      </c>
      <c r="BP178" s="330">
        <f t="shared" si="123"/>
        <v>0</v>
      </c>
      <c r="BQ178" s="330">
        <f t="shared" si="124"/>
        <v>0</v>
      </c>
      <c r="BR178" s="330" t="str">
        <f t="shared" si="125"/>
        <v/>
      </c>
      <c r="BS178" s="432" t="str">
        <f t="shared" si="135"/>
        <v/>
      </c>
    </row>
    <row r="179" spans="1:71">
      <c r="A179" s="592"/>
      <c r="B179" s="592"/>
      <c r="C179" s="592"/>
      <c r="D179" s="592"/>
      <c r="E179" s="592"/>
      <c r="F179" s="592"/>
      <c r="G179" s="592"/>
      <c r="H179" s="592"/>
      <c r="I179" s="592"/>
      <c r="J179" s="592"/>
      <c r="AI179" s="364">
        <v>134</v>
      </c>
      <c r="AJ179" s="330">
        <f t="shared" si="103"/>
        <v>0</v>
      </c>
      <c r="AK179" s="344" t="str">
        <f t="shared" si="104"/>
        <v>None</v>
      </c>
      <c r="AL179" s="330">
        <f t="shared" si="126"/>
        <v>0</v>
      </c>
      <c r="AM179" s="336">
        <f t="shared" si="136"/>
        <v>0</v>
      </c>
      <c r="AN179" s="330">
        <f t="shared" si="127"/>
        <v>0</v>
      </c>
      <c r="AO179" s="437">
        <f t="shared" si="137"/>
        <v>0</v>
      </c>
      <c r="AP179" s="348" t="b">
        <f t="shared" si="105"/>
        <v>0</v>
      </c>
      <c r="AQ179" s="348">
        <f t="shared" si="106"/>
        <v>0</v>
      </c>
      <c r="AR179" s="348">
        <f t="shared" si="107"/>
        <v>0</v>
      </c>
      <c r="AS179" s="348">
        <f t="shared" si="108"/>
        <v>0</v>
      </c>
      <c r="AT179" s="348" t="str">
        <f t="shared" si="128"/>
        <v/>
      </c>
      <c r="AU179" s="348" t="str">
        <f t="shared" si="129"/>
        <v/>
      </c>
      <c r="AV179" s="348">
        <f t="shared" si="130"/>
        <v>0</v>
      </c>
      <c r="AW179" s="348">
        <f t="shared" si="109"/>
        <v>0</v>
      </c>
      <c r="AX179" s="348">
        <f t="shared" si="110"/>
        <v>0</v>
      </c>
      <c r="AY179" s="330">
        <f t="shared" si="111"/>
        <v>0</v>
      </c>
      <c r="AZ179" s="330">
        <f t="shared" si="112"/>
        <v>0</v>
      </c>
      <c r="BA179" s="330">
        <f t="shared" si="113"/>
        <v>0</v>
      </c>
      <c r="BB179" s="330">
        <f t="shared" si="114"/>
        <v>0</v>
      </c>
      <c r="BC179" s="330">
        <f t="shared" si="115"/>
        <v>0</v>
      </c>
      <c r="BD179" s="330">
        <f t="shared" si="116"/>
        <v>0</v>
      </c>
      <c r="BE179" s="330">
        <f t="shared" si="131"/>
        <v>0</v>
      </c>
      <c r="BF179" s="330">
        <f t="shared" si="117"/>
        <v>0</v>
      </c>
      <c r="BG179" s="330">
        <f t="shared" si="118"/>
        <v>0</v>
      </c>
      <c r="BH179" s="330" t="str">
        <f t="shared" si="119"/>
        <v/>
      </c>
      <c r="BI179" s="330" t="str">
        <f t="shared" si="132"/>
        <v/>
      </c>
      <c r="BJ179" s="330" t="str">
        <f t="shared" si="133"/>
        <v/>
      </c>
      <c r="BK179" s="330" t="str">
        <f t="shared" si="120"/>
        <v/>
      </c>
      <c r="BL179" s="330" t="str">
        <f t="shared" si="121"/>
        <v/>
      </c>
      <c r="BM179" s="330" t="str">
        <f t="shared" si="134"/>
        <v/>
      </c>
      <c r="BN179" s="330" t="str">
        <f t="shared" si="138"/>
        <v/>
      </c>
      <c r="BO179" s="330">
        <f t="shared" si="122"/>
        <v>0</v>
      </c>
      <c r="BP179" s="330">
        <f t="shared" si="123"/>
        <v>0</v>
      </c>
      <c r="BQ179" s="330">
        <f t="shared" si="124"/>
        <v>0</v>
      </c>
      <c r="BR179" s="330" t="str">
        <f t="shared" si="125"/>
        <v/>
      </c>
      <c r="BS179" s="432" t="str">
        <f t="shared" si="135"/>
        <v/>
      </c>
    </row>
    <row r="180" spans="1:71">
      <c r="A180" s="592"/>
      <c r="B180" s="592"/>
      <c r="C180" s="592"/>
      <c r="D180" s="592"/>
      <c r="E180" s="592"/>
      <c r="F180" s="592"/>
      <c r="G180" s="592"/>
      <c r="H180" s="592"/>
      <c r="I180" s="592"/>
      <c r="J180" s="592"/>
      <c r="AI180" s="364">
        <v>135</v>
      </c>
      <c r="AJ180" s="330">
        <f t="shared" si="103"/>
        <v>0</v>
      </c>
      <c r="AK180" s="344" t="str">
        <f t="shared" si="104"/>
        <v>None</v>
      </c>
      <c r="AL180" s="330">
        <f t="shared" si="126"/>
        <v>0</v>
      </c>
      <c r="AM180" s="336">
        <f t="shared" si="136"/>
        <v>0</v>
      </c>
      <c r="AN180" s="330">
        <f t="shared" si="127"/>
        <v>0</v>
      </c>
      <c r="AO180" s="437">
        <f t="shared" si="137"/>
        <v>0</v>
      </c>
      <c r="AP180" s="348" t="b">
        <f t="shared" si="105"/>
        <v>0</v>
      </c>
      <c r="AQ180" s="348">
        <f t="shared" si="106"/>
        <v>0</v>
      </c>
      <c r="AR180" s="348">
        <f t="shared" si="107"/>
        <v>0</v>
      </c>
      <c r="AS180" s="348">
        <f t="shared" si="108"/>
        <v>0</v>
      </c>
      <c r="AT180" s="348" t="str">
        <f t="shared" si="128"/>
        <v/>
      </c>
      <c r="AU180" s="348" t="str">
        <f t="shared" si="129"/>
        <v/>
      </c>
      <c r="AV180" s="348">
        <f t="shared" si="130"/>
        <v>0</v>
      </c>
      <c r="AW180" s="348">
        <f t="shared" si="109"/>
        <v>0</v>
      </c>
      <c r="AX180" s="348">
        <f t="shared" si="110"/>
        <v>0</v>
      </c>
      <c r="AY180" s="330">
        <f t="shared" si="111"/>
        <v>0</v>
      </c>
      <c r="AZ180" s="330">
        <f t="shared" si="112"/>
        <v>0</v>
      </c>
      <c r="BA180" s="330">
        <f t="shared" si="113"/>
        <v>0</v>
      </c>
      <c r="BB180" s="330">
        <f t="shared" si="114"/>
        <v>0</v>
      </c>
      <c r="BC180" s="330">
        <f t="shared" si="115"/>
        <v>0</v>
      </c>
      <c r="BD180" s="330">
        <f t="shared" si="116"/>
        <v>0</v>
      </c>
      <c r="BE180" s="330">
        <f t="shared" si="131"/>
        <v>0</v>
      </c>
      <c r="BF180" s="330">
        <f t="shared" si="117"/>
        <v>0</v>
      </c>
      <c r="BG180" s="330">
        <f t="shared" si="118"/>
        <v>0</v>
      </c>
      <c r="BH180" s="330" t="str">
        <f t="shared" si="119"/>
        <v/>
      </c>
      <c r="BI180" s="330" t="str">
        <f t="shared" si="132"/>
        <v/>
      </c>
      <c r="BJ180" s="330" t="str">
        <f t="shared" si="133"/>
        <v/>
      </c>
      <c r="BK180" s="330" t="str">
        <f t="shared" si="120"/>
        <v/>
      </c>
      <c r="BL180" s="330" t="str">
        <f t="shared" si="121"/>
        <v/>
      </c>
      <c r="BM180" s="330" t="str">
        <f t="shared" si="134"/>
        <v/>
      </c>
      <c r="BN180" s="330" t="str">
        <f t="shared" si="138"/>
        <v/>
      </c>
      <c r="BO180" s="330">
        <f t="shared" si="122"/>
        <v>0</v>
      </c>
      <c r="BP180" s="330">
        <f t="shared" si="123"/>
        <v>0</v>
      </c>
      <c r="BQ180" s="330">
        <f t="shared" si="124"/>
        <v>0</v>
      </c>
      <c r="BR180" s="330" t="str">
        <f t="shared" si="125"/>
        <v/>
      </c>
      <c r="BS180" s="432" t="str">
        <f t="shared" si="135"/>
        <v/>
      </c>
    </row>
    <row r="181" spans="1:71">
      <c r="A181" s="592"/>
      <c r="B181" s="592"/>
      <c r="C181" s="592"/>
      <c r="D181" s="592"/>
      <c r="E181" s="592"/>
      <c r="F181" s="592"/>
      <c r="G181" s="592"/>
      <c r="H181" s="592"/>
      <c r="I181" s="592"/>
      <c r="J181" s="592"/>
      <c r="AI181" s="364">
        <v>136</v>
      </c>
      <c r="AJ181" s="330">
        <f t="shared" si="103"/>
        <v>0</v>
      </c>
      <c r="AK181" s="344" t="str">
        <f t="shared" si="104"/>
        <v>None</v>
      </c>
      <c r="AL181" s="330">
        <f t="shared" si="126"/>
        <v>0</v>
      </c>
      <c r="AM181" s="336">
        <f t="shared" si="136"/>
        <v>0</v>
      </c>
      <c r="AN181" s="330">
        <f t="shared" si="127"/>
        <v>0</v>
      </c>
      <c r="AO181" s="437">
        <f t="shared" si="137"/>
        <v>0</v>
      </c>
      <c r="AP181" s="348" t="b">
        <f t="shared" si="105"/>
        <v>0</v>
      </c>
      <c r="AQ181" s="348">
        <f t="shared" si="106"/>
        <v>0</v>
      </c>
      <c r="AR181" s="348">
        <f t="shared" si="107"/>
        <v>0</v>
      </c>
      <c r="AS181" s="348">
        <f t="shared" si="108"/>
        <v>0</v>
      </c>
      <c r="AT181" s="348" t="str">
        <f t="shared" si="128"/>
        <v/>
      </c>
      <c r="AU181" s="348" t="str">
        <f t="shared" si="129"/>
        <v/>
      </c>
      <c r="AV181" s="348">
        <f t="shared" si="130"/>
        <v>0</v>
      </c>
      <c r="AW181" s="348">
        <f t="shared" si="109"/>
        <v>0</v>
      </c>
      <c r="AX181" s="348">
        <f t="shared" si="110"/>
        <v>0</v>
      </c>
      <c r="AY181" s="330">
        <f t="shared" si="111"/>
        <v>0</v>
      </c>
      <c r="AZ181" s="330">
        <f t="shared" si="112"/>
        <v>0</v>
      </c>
      <c r="BA181" s="330">
        <f t="shared" si="113"/>
        <v>0</v>
      </c>
      <c r="BB181" s="330">
        <f t="shared" si="114"/>
        <v>0</v>
      </c>
      <c r="BC181" s="330">
        <f t="shared" si="115"/>
        <v>0</v>
      </c>
      <c r="BD181" s="330">
        <f t="shared" si="116"/>
        <v>0</v>
      </c>
      <c r="BE181" s="330">
        <f t="shared" si="131"/>
        <v>0</v>
      </c>
      <c r="BF181" s="330">
        <f t="shared" si="117"/>
        <v>0</v>
      </c>
      <c r="BG181" s="330">
        <f t="shared" si="118"/>
        <v>0</v>
      </c>
      <c r="BH181" s="330" t="str">
        <f t="shared" si="119"/>
        <v/>
      </c>
      <c r="BI181" s="330" t="str">
        <f t="shared" si="132"/>
        <v/>
      </c>
      <c r="BJ181" s="330" t="str">
        <f t="shared" si="133"/>
        <v/>
      </c>
      <c r="BK181" s="330" t="str">
        <f t="shared" si="120"/>
        <v/>
      </c>
      <c r="BL181" s="330" t="str">
        <f t="shared" si="121"/>
        <v/>
      </c>
      <c r="BM181" s="330" t="str">
        <f t="shared" si="134"/>
        <v/>
      </c>
      <c r="BN181" s="330" t="str">
        <f t="shared" si="138"/>
        <v/>
      </c>
      <c r="BO181" s="330">
        <f t="shared" si="122"/>
        <v>0</v>
      </c>
      <c r="BP181" s="330">
        <f t="shared" si="123"/>
        <v>0</v>
      </c>
      <c r="BQ181" s="330">
        <f t="shared" si="124"/>
        <v>0</v>
      </c>
      <c r="BR181" s="330" t="str">
        <f t="shared" si="125"/>
        <v/>
      </c>
      <c r="BS181" s="432" t="str">
        <f t="shared" si="135"/>
        <v/>
      </c>
    </row>
    <row r="182" spans="1:71">
      <c r="A182" s="592"/>
      <c r="B182" s="592"/>
      <c r="C182" s="592"/>
      <c r="D182" s="592"/>
      <c r="E182" s="592"/>
      <c r="F182" s="592"/>
      <c r="G182" s="592"/>
      <c r="H182" s="592"/>
      <c r="I182" s="592"/>
      <c r="J182" s="592"/>
      <c r="AI182" s="364">
        <v>137</v>
      </c>
      <c r="AJ182" s="330">
        <f t="shared" si="103"/>
        <v>0</v>
      </c>
      <c r="AK182" s="344" t="str">
        <f t="shared" si="104"/>
        <v>None</v>
      </c>
      <c r="AL182" s="330">
        <f t="shared" si="126"/>
        <v>0</v>
      </c>
      <c r="AM182" s="336">
        <f t="shared" si="136"/>
        <v>0</v>
      </c>
      <c r="AN182" s="330">
        <f t="shared" si="127"/>
        <v>0</v>
      </c>
      <c r="AO182" s="437">
        <f t="shared" si="137"/>
        <v>0</v>
      </c>
      <c r="AP182" s="348" t="b">
        <f t="shared" si="105"/>
        <v>0</v>
      </c>
      <c r="AQ182" s="348">
        <f t="shared" si="106"/>
        <v>0</v>
      </c>
      <c r="AR182" s="348">
        <f t="shared" si="107"/>
        <v>0</v>
      </c>
      <c r="AS182" s="348">
        <f t="shared" si="108"/>
        <v>0</v>
      </c>
      <c r="AT182" s="348" t="str">
        <f t="shared" si="128"/>
        <v/>
      </c>
      <c r="AU182" s="348" t="str">
        <f t="shared" si="129"/>
        <v/>
      </c>
      <c r="AV182" s="348">
        <f t="shared" si="130"/>
        <v>0</v>
      </c>
      <c r="AW182" s="348">
        <f t="shared" si="109"/>
        <v>0</v>
      </c>
      <c r="AX182" s="348">
        <f t="shared" si="110"/>
        <v>0</v>
      </c>
      <c r="AY182" s="330">
        <f t="shared" si="111"/>
        <v>0</v>
      </c>
      <c r="AZ182" s="330">
        <f t="shared" si="112"/>
        <v>0</v>
      </c>
      <c r="BA182" s="330">
        <f t="shared" si="113"/>
        <v>0</v>
      </c>
      <c r="BB182" s="330">
        <f t="shared" si="114"/>
        <v>0</v>
      </c>
      <c r="BC182" s="330">
        <f t="shared" si="115"/>
        <v>0</v>
      </c>
      <c r="BD182" s="330">
        <f t="shared" si="116"/>
        <v>0</v>
      </c>
      <c r="BE182" s="330">
        <f t="shared" si="131"/>
        <v>0</v>
      </c>
      <c r="BF182" s="330">
        <f t="shared" si="117"/>
        <v>0</v>
      </c>
      <c r="BG182" s="330">
        <f t="shared" si="118"/>
        <v>0</v>
      </c>
      <c r="BH182" s="330" t="str">
        <f t="shared" si="119"/>
        <v/>
      </c>
      <c r="BI182" s="330" t="str">
        <f t="shared" si="132"/>
        <v/>
      </c>
      <c r="BJ182" s="330" t="str">
        <f t="shared" si="133"/>
        <v/>
      </c>
      <c r="BK182" s="330" t="str">
        <f t="shared" si="120"/>
        <v/>
      </c>
      <c r="BL182" s="330" t="str">
        <f t="shared" si="121"/>
        <v/>
      </c>
      <c r="BM182" s="330" t="str">
        <f t="shared" si="134"/>
        <v/>
      </c>
      <c r="BN182" s="330" t="str">
        <f t="shared" si="138"/>
        <v/>
      </c>
      <c r="BO182" s="330">
        <f t="shared" si="122"/>
        <v>0</v>
      </c>
      <c r="BP182" s="330">
        <f t="shared" si="123"/>
        <v>0</v>
      </c>
      <c r="BQ182" s="330">
        <f t="shared" si="124"/>
        <v>0</v>
      </c>
      <c r="BR182" s="330" t="str">
        <f t="shared" si="125"/>
        <v/>
      </c>
      <c r="BS182" s="432" t="str">
        <f t="shared" si="135"/>
        <v/>
      </c>
    </row>
    <row r="183" spans="1:71">
      <c r="A183" s="592"/>
      <c r="B183" s="592"/>
      <c r="C183" s="592"/>
      <c r="D183" s="592"/>
      <c r="E183" s="592"/>
      <c r="F183" s="592"/>
      <c r="G183" s="592"/>
      <c r="H183" s="592"/>
      <c r="I183" s="592"/>
      <c r="J183" s="592"/>
      <c r="AI183" s="364">
        <v>138</v>
      </c>
      <c r="AJ183" s="330">
        <f t="shared" si="103"/>
        <v>0</v>
      </c>
      <c r="AK183" s="344" t="str">
        <f t="shared" si="104"/>
        <v>None</v>
      </c>
      <c r="AL183" s="330">
        <f t="shared" si="126"/>
        <v>0</v>
      </c>
      <c r="AM183" s="336">
        <f t="shared" si="136"/>
        <v>0</v>
      </c>
      <c r="AN183" s="330">
        <f t="shared" si="127"/>
        <v>0</v>
      </c>
      <c r="AO183" s="437">
        <f t="shared" si="137"/>
        <v>0</v>
      </c>
      <c r="AP183" s="348" t="b">
        <f t="shared" si="105"/>
        <v>0</v>
      </c>
      <c r="AQ183" s="348">
        <f t="shared" si="106"/>
        <v>0</v>
      </c>
      <c r="AR183" s="348">
        <f t="shared" si="107"/>
        <v>0</v>
      </c>
      <c r="AS183" s="348">
        <f t="shared" si="108"/>
        <v>0</v>
      </c>
      <c r="AT183" s="348" t="str">
        <f t="shared" si="128"/>
        <v/>
      </c>
      <c r="AU183" s="348" t="str">
        <f t="shared" si="129"/>
        <v/>
      </c>
      <c r="AV183" s="348">
        <f t="shared" si="130"/>
        <v>0</v>
      </c>
      <c r="AW183" s="348">
        <f t="shared" si="109"/>
        <v>0</v>
      </c>
      <c r="AX183" s="348">
        <f t="shared" si="110"/>
        <v>0</v>
      </c>
      <c r="AY183" s="330">
        <f t="shared" si="111"/>
        <v>0</v>
      </c>
      <c r="AZ183" s="330">
        <f t="shared" si="112"/>
        <v>0</v>
      </c>
      <c r="BA183" s="330">
        <f t="shared" si="113"/>
        <v>0</v>
      </c>
      <c r="BB183" s="330">
        <f t="shared" si="114"/>
        <v>0</v>
      </c>
      <c r="BC183" s="330">
        <f t="shared" si="115"/>
        <v>0</v>
      </c>
      <c r="BD183" s="330">
        <f t="shared" si="116"/>
        <v>0</v>
      </c>
      <c r="BE183" s="330">
        <f t="shared" si="131"/>
        <v>0</v>
      </c>
      <c r="BF183" s="330">
        <f t="shared" si="117"/>
        <v>0</v>
      </c>
      <c r="BG183" s="330">
        <f t="shared" si="118"/>
        <v>0</v>
      </c>
      <c r="BH183" s="330" t="str">
        <f t="shared" si="119"/>
        <v/>
      </c>
      <c r="BI183" s="330" t="str">
        <f t="shared" si="132"/>
        <v/>
      </c>
      <c r="BJ183" s="330" t="str">
        <f t="shared" si="133"/>
        <v/>
      </c>
      <c r="BK183" s="330" t="str">
        <f t="shared" si="120"/>
        <v/>
      </c>
      <c r="BL183" s="330" t="str">
        <f t="shared" si="121"/>
        <v/>
      </c>
      <c r="BM183" s="330" t="str">
        <f t="shared" si="134"/>
        <v/>
      </c>
      <c r="BN183" s="330" t="str">
        <f t="shared" si="138"/>
        <v/>
      </c>
      <c r="BO183" s="330">
        <f t="shared" si="122"/>
        <v>0</v>
      </c>
      <c r="BP183" s="330">
        <f t="shared" si="123"/>
        <v>0</v>
      </c>
      <c r="BQ183" s="330">
        <f t="shared" si="124"/>
        <v>0</v>
      </c>
      <c r="BR183" s="330" t="str">
        <f t="shared" si="125"/>
        <v/>
      </c>
      <c r="BS183" s="432" t="str">
        <f t="shared" si="135"/>
        <v/>
      </c>
    </row>
    <row r="184" spans="1:71">
      <c r="A184" s="592"/>
      <c r="B184" s="592"/>
      <c r="C184" s="592"/>
      <c r="D184" s="592"/>
      <c r="E184" s="592"/>
      <c r="F184" s="592"/>
      <c r="G184" s="592"/>
      <c r="H184" s="592"/>
      <c r="I184" s="592"/>
      <c r="J184" s="592"/>
      <c r="AI184" s="364">
        <v>139</v>
      </c>
      <c r="AJ184" s="330">
        <f t="shared" si="103"/>
        <v>0</v>
      </c>
      <c r="AK184" s="344" t="str">
        <f t="shared" si="104"/>
        <v>None</v>
      </c>
      <c r="AL184" s="330">
        <f t="shared" si="126"/>
        <v>0</v>
      </c>
      <c r="AM184" s="336">
        <f t="shared" si="136"/>
        <v>0</v>
      </c>
      <c r="AN184" s="330">
        <f t="shared" si="127"/>
        <v>0</v>
      </c>
      <c r="AO184" s="437">
        <f t="shared" si="137"/>
        <v>0</v>
      </c>
      <c r="AP184" s="348" t="b">
        <f t="shared" si="105"/>
        <v>0</v>
      </c>
      <c r="AQ184" s="348">
        <f t="shared" si="106"/>
        <v>0</v>
      </c>
      <c r="AR184" s="348">
        <f t="shared" si="107"/>
        <v>0</v>
      </c>
      <c r="AS184" s="348">
        <f t="shared" si="108"/>
        <v>0</v>
      </c>
      <c r="AT184" s="348" t="str">
        <f t="shared" si="128"/>
        <v/>
      </c>
      <c r="AU184" s="348" t="str">
        <f t="shared" si="129"/>
        <v/>
      </c>
      <c r="AV184" s="348">
        <f t="shared" si="130"/>
        <v>0</v>
      </c>
      <c r="AW184" s="348">
        <f t="shared" si="109"/>
        <v>0</v>
      </c>
      <c r="AX184" s="348">
        <f t="shared" si="110"/>
        <v>0</v>
      </c>
      <c r="AY184" s="330">
        <f t="shared" si="111"/>
        <v>0</v>
      </c>
      <c r="AZ184" s="330">
        <f t="shared" si="112"/>
        <v>0</v>
      </c>
      <c r="BA184" s="330">
        <f t="shared" si="113"/>
        <v>0</v>
      </c>
      <c r="BB184" s="330">
        <f t="shared" si="114"/>
        <v>0</v>
      </c>
      <c r="BC184" s="330">
        <f t="shared" si="115"/>
        <v>0</v>
      </c>
      <c r="BD184" s="330">
        <f t="shared" si="116"/>
        <v>0</v>
      </c>
      <c r="BE184" s="330">
        <f t="shared" si="131"/>
        <v>0</v>
      </c>
      <c r="BF184" s="330">
        <f t="shared" si="117"/>
        <v>0</v>
      </c>
      <c r="BG184" s="330">
        <f t="shared" si="118"/>
        <v>0</v>
      </c>
      <c r="BH184" s="330" t="str">
        <f t="shared" si="119"/>
        <v/>
      </c>
      <c r="BI184" s="330" t="str">
        <f t="shared" si="132"/>
        <v/>
      </c>
      <c r="BJ184" s="330" t="str">
        <f t="shared" si="133"/>
        <v/>
      </c>
      <c r="BK184" s="330" t="str">
        <f t="shared" si="120"/>
        <v/>
      </c>
      <c r="BL184" s="330" t="str">
        <f t="shared" si="121"/>
        <v/>
      </c>
      <c r="BM184" s="330" t="str">
        <f t="shared" si="134"/>
        <v/>
      </c>
      <c r="BN184" s="330" t="str">
        <f t="shared" si="138"/>
        <v/>
      </c>
      <c r="BO184" s="330">
        <f t="shared" si="122"/>
        <v>0</v>
      </c>
      <c r="BP184" s="330">
        <f t="shared" si="123"/>
        <v>0</v>
      </c>
      <c r="BQ184" s="330">
        <f t="shared" si="124"/>
        <v>0</v>
      </c>
      <c r="BR184" s="330" t="str">
        <f t="shared" si="125"/>
        <v/>
      </c>
      <c r="BS184" s="432" t="str">
        <f t="shared" si="135"/>
        <v/>
      </c>
    </row>
    <row r="185" spans="1:71">
      <c r="A185" s="592"/>
      <c r="B185" s="592"/>
      <c r="C185" s="592"/>
      <c r="D185" s="592"/>
      <c r="E185" s="592"/>
      <c r="F185" s="592"/>
      <c r="G185" s="592"/>
      <c r="H185" s="592"/>
      <c r="I185" s="592"/>
      <c r="J185" s="592"/>
      <c r="AI185" s="364">
        <v>140</v>
      </c>
      <c r="AJ185" s="330">
        <f t="shared" si="103"/>
        <v>0</v>
      </c>
      <c r="AK185" s="344" t="str">
        <f t="shared" si="104"/>
        <v>None</v>
      </c>
      <c r="AL185" s="330">
        <f t="shared" si="126"/>
        <v>0</v>
      </c>
      <c r="AM185" s="336">
        <f t="shared" si="136"/>
        <v>0</v>
      </c>
      <c r="AN185" s="330">
        <f t="shared" si="127"/>
        <v>0</v>
      </c>
      <c r="AO185" s="437">
        <f t="shared" si="137"/>
        <v>0</v>
      </c>
      <c r="AP185" s="348" t="b">
        <f t="shared" si="105"/>
        <v>0</v>
      </c>
      <c r="AQ185" s="348">
        <f t="shared" si="106"/>
        <v>0</v>
      </c>
      <c r="AR185" s="348">
        <f t="shared" si="107"/>
        <v>0</v>
      </c>
      <c r="AS185" s="348">
        <f t="shared" si="108"/>
        <v>0</v>
      </c>
      <c r="AT185" s="348" t="str">
        <f t="shared" si="128"/>
        <v/>
      </c>
      <c r="AU185" s="348" t="str">
        <f t="shared" si="129"/>
        <v/>
      </c>
      <c r="AV185" s="348">
        <f t="shared" si="130"/>
        <v>0</v>
      </c>
      <c r="AW185" s="348">
        <f t="shared" si="109"/>
        <v>0</v>
      </c>
      <c r="AX185" s="348">
        <f t="shared" si="110"/>
        <v>0</v>
      </c>
      <c r="AY185" s="330">
        <f t="shared" si="111"/>
        <v>0</v>
      </c>
      <c r="AZ185" s="330">
        <f t="shared" si="112"/>
        <v>0</v>
      </c>
      <c r="BA185" s="330">
        <f t="shared" si="113"/>
        <v>0</v>
      </c>
      <c r="BB185" s="330">
        <f t="shared" si="114"/>
        <v>0</v>
      </c>
      <c r="BC185" s="330">
        <f t="shared" si="115"/>
        <v>0</v>
      </c>
      <c r="BD185" s="330">
        <f t="shared" si="116"/>
        <v>0</v>
      </c>
      <c r="BE185" s="330">
        <f t="shared" si="131"/>
        <v>0</v>
      </c>
      <c r="BF185" s="330">
        <f t="shared" si="117"/>
        <v>0</v>
      </c>
      <c r="BG185" s="330">
        <f t="shared" si="118"/>
        <v>0</v>
      </c>
      <c r="BH185" s="330" t="str">
        <f t="shared" si="119"/>
        <v/>
      </c>
      <c r="BI185" s="330" t="str">
        <f t="shared" si="132"/>
        <v/>
      </c>
      <c r="BJ185" s="330" t="str">
        <f t="shared" si="133"/>
        <v/>
      </c>
      <c r="BK185" s="330" t="str">
        <f t="shared" si="120"/>
        <v/>
      </c>
      <c r="BL185" s="330" t="str">
        <f t="shared" si="121"/>
        <v/>
      </c>
      <c r="BM185" s="330" t="str">
        <f t="shared" si="134"/>
        <v/>
      </c>
      <c r="BN185" s="330" t="str">
        <f t="shared" si="138"/>
        <v/>
      </c>
      <c r="BO185" s="330">
        <f t="shared" si="122"/>
        <v>0</v>
      </c>
      <c r="BP185" s="330">
        <f t="shared" si="123"/>
        <v>0</v>
      </c>
      <c r="BQ185" s="330">
        <f t="shared" si="124"/>
        <v>0</v>
      </c>
      <c r="BR185" s="330" t="str">
        <f t="shared" si="125"/>
        <v/>
      </c>
      <c r="BS185" s="432" t="str">
        <f t="shared" si="135"/>
        <v/>
      </c>
    </row>
    <row r="186" spans="1:71">
      <c r="A186" s="592"/>
      <c r="B186" s="592"/>
      <c r="C186" s="592"/>
      <c r="D186" s="592"/>
      <c r="E186" s="592"/>
      <c r="F186" s="592"/>
      <c r="G186" s="592"/>
      <c r="H186" s="592"/>
      <c r="I186" s="592"/>
      <c r="J186" s="592"/>
      <c r="AI186" s="364">
        <v>141</v>
      </c>
      <c r="AJ186" s="330">
        <f t="shared" si="103"/>
        <v>0</v>
      </c>
      <c r="AK186" s="344" t="str">
        <f t="shared" si="104"/>
        <v>None</v>
      </c>
      <c r="AL186" s="330">
        <f t="shared" si="126"/>
        <v>0</v>
      </c>
      <c r="AM186" s="336">
        <f t="shared" si="136"/>
        <v>0</v>
      </c>
      <c r="AN186" s="330">
        <f t="shared" si="127"/>
        <v>0</v>
      </c>
      <c r="AO186" s="437">
        <f t="shared" si="137"/>
        <v>0</v>
      </c>
      <c r="AP186" s="348" t="b">
        <f t="shared" si="105"/>
        <v>0</v>
      </c>
      <c r="AQ186" s="348">
        <f t="shared" si="106"/>
        <v>0</v>
      </c>
      <c r="AR186" s="348">
        <f t="shared" si="107"/>
        <v>0</v>
      </c>
      <c r="AS186" s="348">
        <f t="shared" si="108"/>
        <v>0</v>
      </c>
      <c r="AT186" s="348" t="str">
        <f t="shared" si="128"/>
        <v/>
      </c>
      <c r="AU186" s="348" t="str">
        <f t="shared" si="129"/>
        <v/>
      </c>
      <c r="AV186" s="348">
        <f t="shared" si="130"/>
        <v>0</v>
      </c>
      <c r="AW186" s="348">
        <f t="shared" si="109"/>
        <v>0</v>
      </c>
      <c r="AX186" s="348">
        <f t="shared" si="110"/>
        <v>0</v>
      </c>
      <c r="AY186" s="330">
        <f t="shared" si="111"/>
        <v>0</v>
      </c>
      <c r="AZ186" s="330">
        <f t="shared" si="112"/>
        <v>0</v>
      </c>
      <c r="BA186" s="330">
        <f t="shared" si="113"/>
        <v>0</v>
      </c>
      <c r="BB186" s="330">
        <f t="shared" si="114"/>
        <v>0</v>
      </c>
      <c r="BC186" s="330">
        <f t="shared" si="115"/>
        <v>0</v>
      </c>
      <c r="BD186" s="330">
        <f t="shared" si="116"/>
        <v>0</v>
      </c>
      <c r="BE186" s="330">
        <f t="shared" si="131"/>
        <v>0</v>
      </c>
      <c r="BF186" s="330">
        <f t="shared" si="117"/>
        <v>0</v>
      </c>
      <c r="BG186" s="330">
        <f t="shared" si="118"/>
        <v>0</v>
      </c>
      <c r="BH186" s="330" t="str">
        <f t="shared" si="119"/>
        <v/>
      </c>
      <c r="BI186" s="330" t="str">
        <f t="shared" si="132"/>
        <v/>
      </c>
      <c r="BJ186" s="330" t="str">
        <f t="shared" si="133"/>
        <v/>
      </c>
      <c r="BK186" s="330" t="str">
        <f t="shared" si="120"/>
        <v/>
      </c>
      <c r="BL186" s="330" t="str">
        <f t="shared" si="121"/>
        <v/>
      </c>
      <c r="BM186" s="330" t="str">
        <f t="shared" si="134"/>
        <v/>
      </c>
      <c r="BN186" s="330" t="str">
        <f t="shared" si="138"/>
        <v/>
      </c>
      <c r="BO186" s="330">
        <f t="shared" si="122"/>
        <v>0</v>
      </c>
      <c r="BP186" s="330">
        <f t="shared" si="123"/>
        <v>0</v>
      </c>
      <c r="BQ186" s="330">
        <f t="shared" si="124"/>
        <v>0</v>
      </c>
      <c r="BR186" s="330" t="str">
        <f t="shared" si="125"/>
        <v/>
      </c>
      <c r="BS186" s="432" t="str">
        <f t="shared" si="135"/>
        <v/>
      </c>
    </row>
    <row r="187" spans="1:71">
      <c r="A187" s="592"/>
      <c r="B187" s="592"/>
      <c r="C187" s="592"/>
      <c r="D187" s="592"/>
      <c r="E187" s="592"/>
      <c r="F187" s="592"/>
      <c r="G187" s="592"/>
      <c r="H187" s="592"/>
      <c r="I187" s="592"/>
      <c r="J187" s="592"/>
      <c r="AI187" s="364">
        <v>142</v>
      </c>
      <c r="AJ187" s="330">
        <f t="shared" si="103"/>
        <v>0</v>
      </c>
      <c r="AK187" s="344" t="str">
        <f t="shared" si="104"/>
        <v>None</v>
      </c>
      <c r="AL187" s="330">
        <f t="shared" si="126"/>
        <v>0</v>
      </c>
      <c r="AM187" s="336">
        <f t="shared" si="136"/>
        <v>0</v>
      </c>
      <c r="AN187" s="330">
        <f t="shared" si="127"/>
        <v>0</v>
      </c>
      <c r="AO187" s="437">
        <f t="shared" si="137"/>
        <v>0</v>
      </c>
      <c r="AP187" s="348" t="b">
        <f t="shared" si="105"/>
        <v>0</v>
      </c>
      <c r="AQ187" s="348">
        <f t="shared" si="106"/>
        <v>0</v>
      </c>
      <c r="AR187" s="348">
        <f t="shared" si="107"/>
        <v>0</v>
      </c>
      <c r="AS187" s="348">
        <f t="shared" si="108"/>
        <v>0</v>
      </c>
      <c r="AT187" s="348" t="str">
        <f t="shared" si="128"/>
        <v/>
      </c>
      <c r="AU187" s="348" t="str">
        <f t="shared" si="129"/>
        <v/>
      </c>
      <c r="AV187" s="348">
        <f t="shared" si="130"/>
        <v>0</v>
      </c>
      <c r="AW187" s="348">
        <f t="shared" si="109"/>
        <v>0</v>
      </c>
      <c r="AX187" s="348">
        <f t="shared" si="110"/>
        <v>0</v>
      </c>
      <c r="AY187" s="330">
        <f t="shared" si="111"/>
        <v>0</v>
      </c>
      <c r="AZ187" s="330">
        <f t="shared" si="112"/>
        <v>0</v>
      </c>
      <c r="BA187" s="330">
        <f t="shared" si="113"/>
        <v>0</v>
      </c>
      <c r="BB187" s="330">
        <f t="shared" si="114"/>
        <v>0</v>
      </c>
      <c r="BC187" s="330">
        <f t="shared" si="115"/>
        <v>0</v>
      </c>
      <c r="BD187" s="330">
        <f t="shared" si="116"/>
        <v>0</v>
      </c>
      <c r="BE187" s="330">
        <f t="shared" si="131"/>
        <v>0</v>
      </c>
      <c r="BF187" s="330">
        <f t="shared" si="117"/>
        <v>0</v>
      </c>
      <c r="BG187" s="330">
        <f t="shared" si="118"/>
        <v>0</v>
      </c>
      <c r="BH187" s="330" t="str">
        <f t="shared" si="119"/>
        <v/>
      </c>
      <c r="BI187" s="330" t="str">
        <f t="shared" si="132"/>
        <v/>
      </c>
      <c r="BJ187" s="330" t="str">
        <f t="shared" si="133"/>
        <v/>
      </c>
      <c r="BK187" s="330" t="str">
        <f t="shared" si="120"/>
        <v/>
      </c>
      <c r="BL187" s="330" t="str">
        <f t="shared" si="121"/>
        <v/>
      </c>
      <c r="BM187" s="330" t="str">
        <f t="shared" si="134"/>
        <v/>
      </c>
      <c r="BN187" s="330" t="str">
        <f t="shared" si="138"/>
        <v/>
      </c>
      <c r="BO187" s="330">
        <f t="shared" si="122"/>
        <v>0</v>
      </c>
      <c r="BP187" s="330">
        <f t="shared" si="123"/>
        <v>0</v>
      </c>
      <c r="BQ187" s="330">
        <f t="shared" si="124"/>
        <v>0</v>
      </c>
      <c r="BR187" s="330" t="str">
        <f t="shared" si="125"/>
        <v/>
      </c>
      <c r="BS187" s="432" t="str">
        <f t="shared" si="135"/>
        <v/>
      </c>
    </row>
    <row r="188" spans="1:71">
      <c r="A188" s="592"/>
      <c r="B188" s="592"/>
      <c r="C188" s="592"/>
      <c r="D188" s="592"/>
      <c r="E188" s="592"/>
      <c r="F188" s="592"/>
      <c r="G188" s="592"/>
      <c r="H188" s="592"/>
      <c r="I188" s="592"/>
      <c r="J188" s="592"/>
      <c r="AI188" s="364">
        <v>143</v>
      </c>
      <c r="AJ188" s="330">
        <f t="shared" si="103"/>
        <v>0</v>
      </c>
      <c r="AK188" s="344" t="str">
        <f t="shared" si="104"/>
        <v>None</v>
      </c>
      <c r="AL188" s="330">
        <f t="shared" si="126"/>
        <v>0</v>
      </c>
      <c r="AM188" s="336">
        <f t="shared" si="136"/>
        <v>0</v>
      </c>
      <c r="AN188" s="330">
        <f t="shared" si="127"/>
        <v>0</v>
      </c>
      <c r="AO188" s="437">
        <f t="shared" si="137"/>
        <v>0</v>
      </c>
      <c r="AP188" s="348" t="b">
        <f t="shared" si="105"/>
        <v>0</v>
      </c>
      <c r="AQ188" s="348">
        <f t="shared" si="106"/>
        <v>0</v>
      </c>
      <c r="AR188" s="348">
        <f t="shared" si="107"/>
        <v>0</v>
      </c>
      <c r="AS188" s="348">
        <f t="shared" si="108"/>
        <v>0</v>
      </c>
      <c r="AT188" s="348" t="str">
        <f t="shared" si="128"/>
        <v/>
      </c>
      <c r="AU188" s="348" t="str">
        <f t="shared" si="129"/>
        <v/>
      </c>
      <c r="AV188" s="348">
        <f t="shared" si="130"/>
        <v>0</v>
      </c>
      <c r="AW188" s="348">
        <f t="shared" si="109"/>
        <v>0</v>
      </c>
      <c r="AX188" s="348">
        <f t="shared" si="110"/>
        <v>0</v>
      </c>
      <c r="AY188" s="330">
        <f t="shared" si="111"/>
        <v>0</v>
      </c>
      <c r="AZ188" s="330">
        <f t="shared" si="112"/>
        <v>0</v>
      </c>
      <c r="BA188" s="330">
        <f t="shared" si="113"/>
        <v>0</v>
      </c>
      <c r="BB188" s="330">
        <f t="shared" si="114"/>
        <v>0</v>
      </c>
      <c r="BC188" s="330">
        <f t="shared" si="115"/>
        <v>0</v>
      </c>
      <c r="BD188" s="330">
        <f t="shared" si="116"/>
        <v>0</v>
      </c>
      <c r="BE188" s="330">
        <f t="shared" si="131"/>
        <v>0</v>
      </c>
      <c r="BF188" s="330">
        <f t="shared" si="117"/>
        <v>0</v>
      </c>
      <c r="BG188" s="330">
        <f t="shared" si="118"/>
        <v>0</v>
      </c>
      <c r="BH188" s="330" t="str">
        <f t="shared" si="119"/>
        <v/>
      </c>
      <c r="BI188" s="330" t="str">
        <f t="shared" si="132"/>
        <v/>
      </c>
      <c r="BJ188" s="330" t="str">
        <f t="shared" si="133"/>
        <v/>
      </c>
      <c r="BK188" s="330" t="str">
        <f t="shared" si="120"/>
        <v/>
      </c>
      <c r="BL188" s="330" t="str">
        <f t="shared" si="121"/>
        <v/>
      </c>
      <c r="BM188" s="330" t="str">
        <f t="shared" si="134"/>
        <v/>
      </c>
      <c r="BN188" s="330" t="str">
        <f t="shared" si="138"/>
        <v/>
      </c>
      <c r="BO188" s="330">
        <f t="shared" si="122"/>
        <v>0</v>
      </c>
      <c r="BP188" s="330">
        <f t="shared" si="123"/>
        <v>0</v>
      </c>
      <c r="BQ188" s="330">
        <f t="shared" si="124"/>
        <v>0</v>
      </c>
      <c r="BR188" s="330" t="str">
        <f t="shared" si="125"/>
        <v/>
      </c>
      <c r="BS188" s="432" t="str">
        <f t="shared" si="135"/>
        <v/>
      </c>
    </row>
    <row r="189" spans="1:71">
      <c r="A189" s="592"/>
      <c r="B189" s="592"/>
      <c r="C189" s="592"/>
      <c r="D189" s="592"/>
      <c r="E189" s="592"/>
      <c r="F189" s="592"/>
      <c r="G189" s="592"/>
      <c r="H189" s="592"/>
      <c r="I189" s="592"/>
      <c r="J189" s="592"/>
      <c r="AI189" s="364">
        <v>144</v>
      </c>
      <c r="AJ189" s="330">
        <f t="shared" si="103"/>
        <v>0</v>
      </c>
      <c r="AK189" s="344" t="str">
        <f t="shared" si="104"/>
        <v>None</v>
      </c>
      <c r="AL189" s="330">
        <f t="shared" si="126"/>
        <v>0</v>
      </c>
      <c r="AM189" s="336">
        <f t="shared" si="136"/>
        <v>0</v>
      </c>
      <c r="AN189" s="330">
        <f t="shared" si="127"/>
        <v>0</v>
      </c>
      <c r="AO189" s="437">
        <f t="shared" si="137"/>
        <v>0</v>
      </c>
      <c r="AP189" s="348" t="b">
        <f t="shared" si="105"/>
        <v>0</v>
      </c>
      <c r="AQ189" s="348">
        <f t="shared" si="106"/>
        <v>0</v>
      </c>
      <c r="AR189" s="348">
        <f t="shared" si="107"/>
        <v>0</v>
      </c>
      <c r="AS189" s="348">
        <f t="shared" si="108"/>
        <v>0</v>
      </c>
      <c r="AT189" s="348" t="str">
        <f t="shared" si="128"/>
        <v/>
      </c>
      <c r="AU189" s="348" t="str">
        <f t="shared" si="129"/>
        <v/>
      </c>
      <c r="AV189" s="348">
        <f t="shared" si="130"/>
        <v>0</v>
      </c>
      <c r="AW189" s="348">
        <f t="shared" si="109"/>
        <v>0</v>
      </c>
      <c r="AX189" s="348">
        <f t="shared" si="110"/>
        <v>0</v>
      </c>
      <c r="AY189" s="330">
        <f t="shared" si="111"/>
        <v>0</v>
      </c>
      <c r="AZ189" s="330">
        <f t="shared" si="112"/>
        <v>0</v>
      </c>
      <c r="BA189" s="330">
        <f t="shared" si="113"/>
        <v>0</v>
      </c>
      <c r="BB189" s="330">
        <f t="shared" si="114"/>
        <v>0</v>
      </c>
      <c r="BC189" s="330">
        <f t="shared" si="115"/>
        <v>0</v>
      </c>
      <c r="BD189" s="330">
        <f t="shared" si="116"/>
        <v>0</v>
      </c>
      <c r="BE189" s="330">
        <f t="shared" si="131"/>
        <v>0</v>
      </c>
      <c r="BF189" s="330">
        <f t="shared" si="117"/>
        <v>0</v>
      </c>
      <c r="BG189" s="330">
        <f t="shared" si="118"/>
        <v>0</v>
      </c>
      <c r="BH189" s="330" t="str">
        <f t="shared" si="119"/>
        <v/>
      </c>
      <c r="BI189" s="330" t="str">
        <f t="shared" si="132"/>
        <v/>
      </c>
      <c r="BJ189" s="330" t="str">
        <f t="shared" si="133"/>
        <v/>
      </c>
      <c r="BK189" s="330" t="str">
        <f t="shared" si="120"/>
        <v/>
      </c>
      <c r="BL189" s="330" t="str">
        <f t="shared" si="121"/>
        <v/>
      </c>
      <c r="BM189" s="330" t="str">
        <f t="shared" si="134"/>
        <v/>
      </c>
      <c r="BN189" s="330" t="str">
        <f t="shared" si="138"/>
        <v/>
      </c>
      <c r="BO189" s="330">
        <f t="shared" si="122"/>
        <v>0</v>
      </c>
      <c r="BP189" s="330">
        <f t="shared" si="123"/>
        <v>0</v>
      </c>
      <c r="BQ189" s="330">
        <f t="shared" si="124"/>
        <v>0</v>
      </c>
      <c r="BR189" s="330" t="str">
        <f t="shared" si="125"/>
        <v/>
      </c>
      <c r="BS189" s="432" t="str">
        <f t="shared" si="135"/>
        <v/>
      </c>
    </row>
    <row r="190" spans="1:71">
      <c r="A190" s="592"/>
      <c r="B190" s="592"/>
      <c r="C190" s="592"/>
      <c r="D190" s="592"/>
      <c r="E190" s="592"/>
      <c r="F190" s="592"/>
      <c r="G190" s="592"/>
      <c r="H190" s="592"/>
      <c r="I190" s="592"/>
      <c r="J190" s="592"/>
      <c r="AI190" s="364">
        <v>145</v>
      </c>
      <c r="AJ190" s="330">
        <f t="shared" si="103"/>
        <v>0</v>
      </c>
      <c r="AK190" s="344" t="str">
        <f t="shared" si="104"/>
        <v>None</v>
      </c>
      <c r="AL190" s="330">
        <f t="shared" si="126"/>
        <v>0</v>
      </c>
      <c r="AM190" s="336">
        <f t="shared" si="136"/>
        <v>0</v>
      </c>
      <c r="AN190" s="330">
        <f t="shared" si="127"/>
        <v>0</v>
      </c>
      <c r="AO190" s="437">
        <f t="shared" si="137"/>
        <v>0</v>
      </c>
      <c r="AP190" s="348" t="b">
        <f t="shared" si="105"/>
        <v>0</v>
      </c>
      <c r="AQ190" s="348">
        <f t="shared" si="106"/>
        <v>0</v>
      </c>
      <c r="AR190" s="348">
        <f t="shared" si="107"/>
        <v>0</v>
      </c>
      <c r="AS190" s="348">
        <f t="shared" si="108"/>
        <v>0</v>
      </c>
      <c r="AT190" s="348" t="str">
        <f t="shared" si="128"/>
        <v/>
      </c>
      <c r="AU190" s="348" t="str">
        <f t="shared" si="129"/>
        <v/>
      </c>
      <c r="AV190" s="348">
        <f t="shared" si="130"/>
        <v>0</v>
      </c>
      <c r="AW190" s="348">
        <f t="shared" si="109"/>
        <v>0</v>
      </c>
      <c r="AX190" s="348">
        <f t="shared" si="110"/>
        <v>0</v>
      </c>
      <c r="AY190" s="330">
        <f t="shared" si="111"/>
        <v>0</v>
      </c>
      <c r="AZ190" s="330">
        <f t="shared" si="112"/>
        <v>0</v>
      </c>
      <c r="BA190" s="330">
        <f t="shared" si="113"/>
        <v>0</v>
      </c>
      <c r="BB190" s="330">
        <f t="shared" si="114"/>
        <v>0</v>
      </c>
      <c r="BC190" s="330">
        <f t="shared" si="115"/>
        <v>0</v>
      </c>
      <c r="BD190" s="330">
        <f t="shared" si="116"/>
        <v>0</v>
      </c>
      <c r="BE190" s="330">
        <f t="shared" si="131"/>
        <v>0</v>
      </c>
      <c r="BF190" s="330">
        <f t="shared" si="117"/>
        <v>0</v>
      </c>
      <c r="BG190" s="330">
        <f t="shared" si="118"/>
        <v>0</v>
      </c>
      <c r="BH190" s="330" t="str">
        <f t="shared" si="119"/>
        <v/>
      </c>
      <c r="BI190" s="330" t="str">
        <f t="shared" si="132"/>
        <v/>
      </c>
      <c r="BJ190" s="330" t="str">
        <f t="shared" si="133"/>
        <v/>
      </c>
      <c r="BK190" s="330" t="str">
        <f t="shared" si="120"/>
        <v/>
      </c>
      <c r="BL190" s="330" t="str">
        <f t="shared" si="121"/>
        <v/>
      </c>
      <c r="BM190" s="330" t="str">
        <f t="shared" si="134"/>
        <v/>
      </c>
      <c r="BN190" s="330" t="str">
        <f t="shared" si="138"/>
        <v/>
      </c>
      <c r="BO190" s="330">
        <f t="shared" si="122"/>
        <v>0</v>
      </c>
      <c r="BP190" s="330">
        <f t="shared" si="123"/>
        <v>0</v>
      </c>
      <c r="BQ190" s="330">
        <f t="shared" si="124"/>
        <v>0</v>
      </c>
      <c r="BR190" s="330" t="str">
        <f t="shared" si="125"/>
        <v/>
      </c>
      <c r="BS190" s="432" t="str">
        <f t="shared" si="135"/>
        <v/>
      </c>
    </row>
    <row r="191" spans="1:71">
      <c r="A191" s="592"/>
      <c r="B191" s="592"/>
      <c r="C191" s="592"/>
      <c r="D191" s="592"/>
      <c r="E191" s="592"/>
      <c r="F191" s="592"/>
      <c r="G191" s="592"/>
      <c r="H191" s="592"/>
      <c r="I191" s="592"/>
      <c r="J191" s="592"/>
      <c r="AI191" s="364">
        <v>146</v>
      </c>
      <c r="AJ191" s="330">
        <f t="shared" si="103"/>
        <v>0</v>
      </c>
      <c r="AK191" s="344" t="str">
        <f t="shared" si="104"/>
        <v>None</v>
      </c>
      <c r="AL191" s="330">
        <f t="shared" si="126"/>
        <v>0</v>
      </c>
      <c r="AM191" s="336">
        <f t="shared" si="136"/>
        <v>0</v>
      </c>
      <c r="AN191" s="330">
        <f t="shared" si="127"/>
        <v>0</v>
      </c>
      <c r="AO191" s="437">
        <f t="shared" si="137"/>
        <v>0</v>
      </c>
      <c r="AP191" s="348" t="b">
        <f t="shared" si="105"/>
        <v>0</v>
      </c>
      <c r="AQ191" s="348">
        <f t="shared" si="106"/>
        <v>0</v>
      </c>
      <c r="AR191" s="348">
        <f t="shared" si="107"/>
        <v>0</v>
      </c>
      <c r="AS191" s="348">
        <f t="shared" si="108"/>
        <v>0</v>
      </c>
      <c r="AT191" s="348" t="str">
        <f t="shared" si="128"/>
        <v/>
      </c>
      <c r="AU191" s="348" t="str">
        <f t="shared" si="129"/>
        <v/>
      </c>
      <c r="AV191" s="348">
        <f t="shared" si="130"/>
        <v>0</v>
      </c>
      <c r="AW191" s="348">
        <f t="shared" si="109"/>
        <v>0</v>
      </c>
      <c r="AX191" s="348">
        <f t="shared" si="110"/>
        <v>0</v>
      </c>
      <c r="AY191" s="330">
        <f t="shared" si="111"/>
        <v>0</v>
      </c>
      <c r="AZ191" s="330">
        <f t="shared" si="112"/>
        <v>0</v>
      </c>
      <c r="BA191" s="330">
        <f t="shared" si="113"/>
        <v>0</v>
      </c>
      <c r="BB191" s="330">
        <f t="shared" si="114"/>
        <v>0</v>
      </c>
      <c r="BC191" s="330">
        <f t="shared" si="115"/>
        <v>0</v>
      </c>
      <c r="BD191" s="330">
        <f t="shared" si="116"/>
        <v>0</v>
      </c>
      <c r="BE191" s="330">
        <f t="shared" si="131"/>
        <v>0</v>
      </c>
      <c r="BF191" s="330">
        <f t="shared" si="117"/>
        <v>0</v>
      </c>
      <c r="BG191" s="330">
        <f t="shared" si="118"/>
        <v>0</v>
      </c>
      <c r="BH191" s="330" t="str">
        <f t="shared" si="119"/>
        <v/>
      </c>
      <c r="BI191" s="330" t="str">
        <f t="shared" si="132"/>
        <v/>
      </c>
      <c r="BJ191" s="330" t="str">
        <f t="shared" si="133"/>
        <v/>
      </c>
      <c r="BK191" s="330" t="str">
        <f t="shared" si="120"/>
        <v/>
      </c>
      <c r="BL191" s="330" t="str">
        <f t="shared" si="121"/>
        <v/>
      </c>
      <c r="BM191" s="330" t="str">
        <f t="shared" si="134"/>
        <v/>
      </c>
      <c r="BN191" s="330" t="str">
        <f t="shared" si="138"/>
        <v/>
      </c>
      <c r="BO191" s="330">
        <f t="shared" si="122"/>
        <v>0</v>
      </c>
      <c r="BP191" s="330">
        <f t="shared" si="123"/>
        <v>0</v>
      </c>
      <c r="BQ191" s="330">
        <f t="shared" si="124"/>
        <v>0</v>
      </c>
      <c r="BR191" s="330" t="str">
        <f t="shared" si="125"/>
        <v/>
      </c>
      <c r="BS191" s="432" t="str">
        <f t="shared" si="135"/>
        <v/>
      </c>
    </row>
    <row r="192" spans="1:71">
      <c r="A192" s="592"/>
      <c r="B192" s="592"/>
      <c r="C192" s="592"/>
      <c r="D192" s="592"/>
      <c r="E192" s="592"/>
      <c r="F192" s="592"/>
      <c r="G192" s="592"/>
      <c r="H192" s="592"/>
      <c r="I192" s="592"/>
      <c r="J192" s="592"/>
      <c r="AI192" s="364">
        <v>147</v>
      </c>
      <c r="AJ192" s="330">
        <f t="shared" si="103"/>
        <v>0</v>
      </c>
      <c r="AK192" s="344" t="str">
        <f t="shared" si="104"/>
        <v>None</v>
      </c>
      <c r="AL192" s="330">
        <f t="shared" si="126"/>
        <v>0</v>
      </c>
      <c r="AM192" s="336">
        <f t="shared" si="136"/>
        <v>0</v>
      </c>
      <c r="AN192" s="330">
        <f t="shared" si="127"/>
        <v>0</v>
      </c>
      <c r="AO192" s="437">
        <f t="shared" si="137"/>
        <v>0</v>
      </c>
      <c r="AP192" s="348" t="b">
        <f t="shared" si="105"/>
        <v>0</v>
      </c>
      <c r="AQ192" s="348">
        <f t="shared" si="106"/>
        <v>0</v>
      </c>
      <c r="AR192" s="348">
        <f t="shared" si="107"/>
        <v>0</v>
      </c>
      <c r="AS192" s="348">
        <f t="shared" si="108"/>
        <v>0</v>
      </c>
      <c r="AT192" s="348" t="str">
        <f t="shared" si="128"/>
        <v/>
      </c>
      <c r="AU192" s="348" t="str">
        <f t="shared" si="129"/>
        <v/>
      </c>
      <c r="AV192" s="348">
        <f t="shared" si="130"/>
        <v>0</v>
      </c>
      <c r="AW192" s="348">
        <f t="shared" si="109"/>
        <v>0</v>
      </c>
      <c r="AX192" s="348">
        <f t="shared" si="110"/>
        <v>0</v>
      </c>
      <c r="AY192" s="330">
        <f t="shared" si="111"/>
        <v>0</v>
      </c>
      <c r="AZ192" s="330">
        <f t="shared" si="112"/>
        <v>0</v>
      </c>
      <c r="BA192" s="330">
        <f t="shared" si="113"/>
        <v>0</v>
      </c>
      <c r="BB192" s="330">
        <f t="shared" si="114"/>
        <v>0</v>
      </c>
      <c r="BC192" s="330">
        <f t="shared" si="115"/>
        <v>0</v>
      </c>
      <c r="BD192" s="330">
        <f t="shared" si="116"/>
        <v>0</v>
      </c>
      <c r="BE192" s="330">
        <f t="shared" si="131"/>
        <v>0</v>
      </c>
      <c r="BF192" s="330">
        <f t="shared" si="117"/>
        <v>0</v>
      </c>
      <c r="BG192" s="330">
        <f t="shared" si="118"/>
        <v>0</v>
      </c>
      <c r="BH192" s="330" t="str">
        <f t="shared" si="119"/>
        <v/>
      </c>
      <c r="BI192" s="330" t="str">
        <f t="shared" si="132"/>
        <v/>
      </c>
      <c r="BJ192" s="330" t="str">
        <f t="shared" si="133"/>
        <v/>
      </c>
      <c r="BK192" s="330" t="str">
        <f t="shared" si="120"/>
        <v/>
      </c>
      <c r="BL192" s="330" t="str">
        <f t="shared" si="121"/>
        <v/>
      </c>
      <c r="BM192" s="330" t="str">
        <f t="shared" si="134"/>
        <v/>
      </c>
      <c r="BN192" s="330" t="str">
        <f t="shared" si="138"/>
        <v/>
      </c>
      <c r="BO192" s="330">
        <f t="shared" si="122"/>
        <v>0</v>
      </c>
      <c r="BP192" s="330">
        <f t="shared" si="123"/>
        <v>0</v>
      </c>
      <c r="BQ192" s="330">
        <f t="shared" si="124"/>
        <v>0</v>
      </c>
      <c r="BR192" s="330" t="str">
        <f t="shared" si="125"/>
        <v/>
      </c>
      <c r="BS192" s="432" t="str">
        <f t="shared" si="135"/>
        <v/>
      </c>
    </row>
    <row r="193" spans="1:71">
      <c r="A193" s="592"/>
      <c r="B193" s="592"/>
      <c r="C193" s="592"/>
      <c r="D193" s="592"/>
      <c r="E193" s="592"/>
      <c r="F193" s="592"/>
      <c r="G193" s="592"/>
      <c r="H193" s="592"/>
      <c r="I193" s="592"/>
      <c r="J193" s="592"/>
      <c r="AI193" s="364">
        <v>148</v>
      </c>
      <c r="AJ193" s="330">
        <f t="shared" si="103"/>
        <v>0</v>
      </c>
      <c r="AK193" s="344" t="str">
        <f t="shared" si="104"/>
        <v>None</v>
      </c>
      <c r="AL193" s="330">
        <f t="shared" si="126"/>
        <v>0</v>
      </c>
      <c r="AM193" s="336">
        <f t="shared" si="136"/>
        <v>0</v>
      </c>
      <c r="AN193" s="330">
        <f t="shared" si="127"/>
        <v>0</v>
      </c>
      <c r="AO193" s="437">
        <f t="shared" si="137"/>
        <v>0</v>
      </c>
      <c r="AP193" s="348" t="b">
        <f t="shared" si="105"/>
        <v>0</v>
      </c>
      <c r="AQ193" s="348">
        <f t="shared" si="106"/>
        <v>0</v>
      </c>
      <c r="AR193" s="348">
        <f t="shared" si="107"/>
        <v>0</v>
      </c>
      <c r="AS193" s="348">
        <f t="shared" si="108"/>
        <v>0</v>
      </c>
      <c r="AT193" s="348" t="str">
        <f t="shared" si="128"/>
        <v/>
      </c>
      <c r="AU193" s="348" t="str">
        <f t="shared" si="129"/>
        <v/>
      </c>
      <c r="AV193" s="348">
        <f t="shared" si="130"/>
        <v>0</v>
      </c>
      <c r="AW193" s="348">
        <f t="shared" si="109"/>
        <v>0</v>
      </c>
      <c r="AX193" s="348">
        <f t="shared" si="110"/>
        <v>0</v>
      </c>
      <c r="AY193" s="330">
        <f t="shared" si="111"/>
        <v>0</v>
      </c>
      <c r="AZ193" s="330">
        <f t="shared" si="112"/>
        <v>0</v>
      </c>
      <c r="BA193" s="330">
        <f t="shared" si="113"/>
        <v>0</v>
      </c>
      <c r="BB193" s="330">
        <f t="shared" si="114"/>
        <v>0</v>
      </c>
      <c r="BC193" s="330">
        <f t="shared" si="115"/>
        <v>0</v>
      </c>
      <c r="BD193" s="330">
        <f t="shared" si="116"/>
        <v>0</v>
      </c>
      <c r="BE193" s="330">
        <f t="shared" si="131"/>
        <v>0</v>
      </c>
      <c r="BF193" s="330">
        <f t="shared" si="117"/>
        <v>0</v>
      </c>
      <c r="BG193" s="330">
        <f t="shared" si="118"/>
        <v>0</v>
      </c>
      <c r="BH193" s="330" t="str">
        <f t="shared" si="119"/>
        <v/>
      </c>
      <c r="BI193" s="330" t="str">
        <f t="shared" si="132"/>
        <v/>
      </c>
      <c r="BJ193" s="330" t="str">
        <f t="shared" si="133"/>
        <v/>
      </c>
      <c r="BK193" s="330" t="str">
        <f t="shared" si="120"/>
        <v/>
      </c>
      <c r="BL193" s="330" t="str">
        <f t="shared" si="121"/>
        <v/>
      </c>
      <c r="BM193" s="330" t="str">
        <f t="shared" si="134"/>
        <v/>
      </c>
      <c r="BN193" s="330" t="str">
        <f t="shared" si="138"/>
        <v/>
      </c>
      <c r="BO193" s="330">
        <f t="shared" si="122"/>
        <v>0</v>
      </c>
      <c r="BP193" s="330">
        <f t="shared" si="123"/>
        <v>0</v>
      </c>
      <c r="BQ193" s="330">
        <f t="shared" si="124"/>
        <v>0</v>
      </c>
      <c r="BR193" s="330" t="str">
        <f t="shared" si="125"/>
        <v/>
      </c>
      <c r="BS193" s="432" t="str">
        <f t="shared" si="135"/>
        <v/>
      </c>
    </row>
    <row r="194" spans="1:71">
      <c r="A194" s="592"/>
      <c r="B194" s="592"/>
      <c r="C194" s="592"/>
      <c r="D194" s="592"/>
      <c r="E194" s="592"/>
      <c r="F194" s="592"/>
      <c r="G194" s="592"/>
      <c r="H194" s="592"/>
      <c r="I194" s="592"/>
      <c r="J194" s="592"/>
      <c r="AI194" s="364">
        <v>149</v>
      </c>
      <c r="AJ194" s="330">
        <f t="shared" si="103"/>
        <v>0</v>
      </c>
      <c r="AK194" s="344" t="str">
        <f t="shared" si="104"/>
        <v>None</v>
      </c>
      <c r="AL194" s="330">
        <f t="shared" si="126"/>
        <v>0</v>
      </c>
      <c r="AM194" s="336">
        <f t="shared" si="136"/>
        <v>0</v>
      </c>
      <c r="AN194" s="330">
        <f t="shared" si="127"/>
        <v>0</v>
      </c>
      <c r="AO194" s="437">
        <f t="shared" si="137"/>
        <v>0</v>
      </c>
      <c r="AP194" s="348" t="b">
        <f t="shared" si="105"/>
        <v>0</v>
      </c>
      <c r="AQ194" s="348">
        <f t="shared" si="106"/>
        <v>0</v>
      </c>
      <c r="AR194" s="348">
        <f t="shared" si="107"/>
        <v>0</v>
      </c>
      <c r="AS194" s="348">
        <f t="shared" si="108"/>
        <v>0</v>
      </c>
      <c r="AT194" s="348" t="str">
        <f t="shared" si="128"/>
        <v/>
      </c>
      <c r="AU194" s="348" t="str">
        <f t="shared" si="129"/>
        <v/>
      </c>
      <c r="AV194" s="348">
        <f t="shared" si="130"/>
        <v>0</v>
      </c>
      <c r="AW194" s="348">
        <f t="shared" si="109"/>
        <v>0</v>
      </c>
      <c r="AX194" s="348">
        <f t="shared" si="110"/>
        <v>0</v>
      </c>
      <c r="AY194" s="330">
        <f t="shared" si="111"/>
        <v>0</v>
      </c>
      <c r="AZ194" s="330">
        <f t="shared" si="112"/>
        <v>0</v>
      </c>
      <c r="BA194" s="330">
        <f t="shared" si="113"/>
        <v>0</v>
      </c>
      <c r="BB194" s="330">
        <f t="shared" si="114"/>
        <v>0</v>
      </c>
      <c r="BC194" s="330">
        <f t="shared" si="115"/>
        <v>0</v>
      </c>
      <c r="BD194" s="330">
        <f t="shared" si="116"/>
        <v>0</v>
      </c>
      <c r="BE194" s="330">
        <f t="shared" si="131"/>
        <v>0</v>
      </c>
      <c r="BF194" s="330">
        <f t="shared" si="117"/>
        <v>0</v>
      </c>
      <c r="BG194" s="330">
        <f t="shared" si="118"/>
        <v>0</v>
      </c>
      <c r="BH194" s="330" t="str">
        <f t="shared" si="119"/>
        <v/>
      </c>
      <c r="BI194" s="330" t="str">
        <f t="shared" si="132"/>
        <v/>
      </c>
      <c r="BJ194" s="330" t="str">
        <f t="shared" si="133"/>
        <v/>
      </c>
      <c r="BK194" s="330" t="str">
        <f t="shared" si="120"/>
        <v/>
      </c>
      <c r="BL194" s="330" t="str">
        <f t="shared" si="121"/>
        <v/>
      </c>
      <c r="BM194" s="330" t="str">
        <f t="shared" si="134"/>
        <v/>
      </c>
      <c r="BN194" s="330" t="str">
        <f t="shared" si="138"/>
        <v/>
      </c>
      <c r="BO194" s="330">
        <f t="shared" si="122"/>
        <v>0</v>
      </c>
      <c r="BP194" s="330">
        <f t="shared" si="123"/>
        <v>0</v>
      </c>
      <c r="BQ194" s="330">
        <f t="shared" si="124"/>
        <v>0</v>
      </c>
      <c r="BR194" s="330" t="str">
        <f t="shared" si="125"/>
        <v/>
      </c>
      <c r="BS194" s="432" t="str">
        <f t="shared" si="135"/>
        <v/>
      </c>
    </row>
    <row r="195" spans="1:71">
      <c r="A195" s="592"/>
      <c r="B195" s="592"/>
      <c r="C195" s="592"/>
      <c r="D195" s="592"/>
      <c r="E195" s="592"/>
      <c r="F195" s="592"/>
      <c r="G195" s="592"/>
      <c r="H195" s="592"/>
      <c r="I195" s="592"/>
      <c r="J195" s="592"/>
      <c r="AI195" s="364">
        <v>150</v>
      </c>
      <c r="AJ195" s="330">
        <f t="shared" si="103"/>
        <v>0</v>
      </c>
      <c r="AK195" s="344" t="str">
        <f t="shared" si="104"/>
        <v>None</v>
      </c>
      <c r="AL195" s="330">
        <f t="shared" si="126"/>
        <v>0</v>
      </c>
      <c r="AM195" s="336">
        <f t="shared" si="136"/>
        <v>0</v>
      </c>
      <c r="AN195" s="330">
        <f t="shared" si="127"/>
        <v>0</v>
      </c>
      <c r="AO195" s="437">
        <f t="shared" si="137"/>
        <v>0</v>
      </c>
      <c r="AP195" s="348" t="b">
        <f t="shared" si="105"/>
        <v>0</v>
      </c>
      <c r="AQ195" s="348">
        <f t="shared" si="106"/>
        <v>0</v>
      </c>
      <c r="AR195" s="348">
        <f t="shared" si="107"/>
        <v>0</v>
      </c>
      <c r="AS195" s="348">
        <f t="shared" si="108"/>
        <v>0</v>
      </c>
      <c r="AT195" s="348" t="str">
        <f t="shared" si="128"/>
        <v/>
      </c>
      <c r="AU195" s="348" t="str">
        <f t="shared" si="129"/>
        <v/>
      </c>
      <c r="AV195" s="348">
        <f t="shared" si="130"/>
        <v>0</v>
      </c>
      <c r="AW195" s="348">
        <f t="shared" si="109"/>
        <v>0</v>
      </c>
      <c r="AX195" s="348">
        <f t="shared" si="110"/>
        <v>0</v>
      </c>
      <c r="AY195" s="330">
        <f t="shared" si="111"/>
        <v>0</v>
      </c>
      <c r="AZ195" s="330">
        <f t="shared" si="112"/>
        <v>0</v>
      </c>
      <c r="BA195" s="330">
        <f t="shared" si="113"/>
        <v>0</v>
      </c>
      <c r="BB195" s="330">
        <f t="shared" si="114"/>
        <v>0</v>
      </c>
      <c r="BC195" s="330">
        <f t="shared" si="115"/>
        <v>0</v>
      </c>
      <c r="BD195" s="330">
        <f t="shared" si="116"/>
        <v>0</v>
      </c>
      <c r="BE195" s="330">
        <f t="shared" si="131"/>
        <v>0</v>
      </c>
      <c r="BF195" s="330">
        <f t="shared" si="117"/>
        <v>0</v>
      </c>
      <c r="BG195" s="330">
        <f t="shared" si="118"/>
        <v>0</v>
      </c>
      <c r="BH195" s="330" t="str">
        <f t="shared" si="119"/>
        <v/>
      </c>
      <c r="BI195" s="330" t="str">
        <f t="shared" si="132"/>
        <v/>
      </c>
      <c r="BJ195" s="330" t="str">
        <f t="shared" si="133"/>
        <v/>
      </c>
      <c r="BK195" s="330" t="str">
        <f t="shared" si="120"/>
        <v/>
      </c>
      <c r="BL195" s="330" t="str">
        <f t="shared" si="121"/>
        <v/>
      </c>
      <c r="BM195" s="330" t="str">
        <f t="shared" si="134"/>
        <v/>
      </c>
      <c r="BN195" s="330" t="str">
        <f t="shared" si="138"/>
        <v/>
      </c>
      <c r="BO195" s="330">
        <f t="shared" si="122"/>
        <v>0</v>
      </c>
      <c r="BP195" s="330">
        <f t="shared" si="123"/>
        <v>0</v>
      </c>
      <c r="BQ195" s="330">
        <f t="shared" si="124"/>
        <v>0</v>
      </c>
      <c r="BR195" s="330" t="str">
        <f t="shared" si="125"/>
        <v/>
      </c>
      <c r="BS195" s="432" t="str">
        <f t="shared" si="135"/>
        <v/>
      </c>
    </row>
    <row r="196" spans="1:71">
      <c r="A196" s="592"/>
      <c r="B196" s="592"/>
      <c r="C196" s="592"/>
      <c r="D196" s="592"/>
      <c r="E196" s="592"/>
      <c r="F196" s="592"/>
      <c r="G196" s="592"/>
      <c r="H196" s="592"/>
      <c r="I196" s="592"/>
      <c r="J196" s="592"/>
      <c r="AI196" s="364">
        <v>151</v>
      </c>
      <c r="AJ196" s="330">
        <f t="shared" si="103"/>
        <v>0</v>
      </c>
      <c r="AK196" s="344" t="str">
        <f t="shared" si="104"/>
        <v>None</v>
      </c>
      <c r="AL196" s="330">
        <f t="shared" si="126"/>
        <v>0</v>
      </c>
      <c r="AM196" s="336">
        <f t="shared" si="136"/>
        <v>0</v>
      </c>
      <c r="AN196" s="330">
        <f t="shared" si="127"/>
        <v>0</v>
      </c>
      <c r="AO196" s="437">
        <f t="shared" si="137"/>
        <v>0</v>
      </c>
      <c r="AP196" s="348" t="b">
        <f t="shared" si="105"/>
        <v>0</v>
      </c>
      <c r="AQ196" s="348">
        <f t="shared" si="106"/>
        <v>0</v>
      </c>
      <c r="AR196" s="348">
        <f t="shared" si="107"/>
        <v>0</v>
      </c>
      <c r="AS196" s="348">
        <f t="shared" si="108"/>
        <v>0</v>
      </c>
      <c r="AT196" s="348" t="str">
        <f t="shared" si="128"/>
        <v/>
      </c>
      <c r="AU196" s="348" t="str">
        <f t="shared" si="129"/>
        <v/>
      </c>
      <c r="AV196" s="348">
        <f t="shared" si="130"/>
        <v>0</v>
      </c>
      <c r="AW196" s="348">
        <f t="shared" si="109"/>
        <v>0</v>
      </c>
      <c r="AX196" s="348">
        <f t="shared" si="110"/>
        <v>0</v>
      </c>
      <c r="AY196" s="330">
        <f t="shared" si="111"/>
        <v>0</v>
      </c>
      <c r="AZ196" s="330">
        <f t="shared" si="112"/>
        <v>0</v>
      </c>
      <c r="BA196" s="330">
        <f t="shared" si="113"/>
        <v>0</v>
      </c>
      <c r="BB196" s="330">
        <f t="shared" si="114"/>
        <v>0</v>
      </c>
      <c r="BC196" s="330">
        <f t="shared" si="115"/>
        <v>0</v>
      </c>
      <c r="BD196" s="330">
        <f t="shared" si="116"/>
        <v>0</v>
      </c>
      <c r="BE196" s="330">
        <f t="shared" si="131"/>
        <v>0</v>
      </c>
      <c r="BF196" s="330">
        <f t="shared" si="117"/>
        <v>0</v>
      </c>
      <c r="BG196" s="330">
        <f t="shared" si="118"/>
        <v>0</v>
      </c>
      <c r="BH196" s="330" t="str">
        <f t="shared" si="119"/>
        <v/>
      </c>
      <c r="BI196" s="330" t="str">
        <f t="shared" si="132"/>
        <v/>
      </c>
      <c r="BJ196" s="330" t="str">
        <f t="shared" si="133"/>
        <v/>
      </c>
      <c r="BK196" s="330" t="str">
        <f t="shared" si="120"/>
        <v/>
      </c>
      <c r="BL196" s="330" t="str">
        <f t="shared" si="121"/>
        <v/>
      </c>
      <c r="BM196" s="330" t="str">
        <f t="shared" si="134"/>
        <v/>
      </c>
      <c r="BN196" s="330" t="str">
        <f t="shared" si="138"/>
        <v/>
      </c>
      <c r="BO196" s="330">
        <f t="shared" si="122"/>
        <v>0</v>
      </c>
      <c r="BP196" s="330">
        <f t="shared" si="123"/>
        <v>0</v>
      </c>
      <c r="BQ196" s="330">
        <f t="shared" si="124"/>
        <v>0</v>
      </c>
      <c r="BR196" s="330" t="str">
        <f t="shared" si="125"/>
        <v/>
      </c>
      <c r="BS196" s="432" t="str">
        <f t="shared" si="135"/>
        <v/>
      </c>
    </row>
    <row r="197" spans="1:71">
      <c r="A197" s="592"/>
      <c r="B197" s="592"/>
      <c r="C197" s="592"/>
      <c r="D197" s="592"/>
      <c r="E197" s="592"/>
      <c r="F197" s="592"/>
      <c r="G197" s="592"/>
      <c r="H197" s="592"/>
      <c r="I197" s="592"/>
      <c r="J197" s="592"/>
      <c r="AI197" s="364">
        <v>152</v>
      </c>
      <c r="AJ197" s="330">
        <f t="shared" si="103"/>
        <v>0</v>
      </c>
      <c r="AK197" s="344" t="str">
        <f t="shared" si="104"/>
        <v>None</v>
      </c>
      <c r="AL197" s="330">
        <f t="shared" si="126"/>
        <v>0</v>
      </c>
      <c r="AM197" s="336">
        <f t="shared" si="136"/>
        <v>0</v>
      </c>
      <c r="AN197" s="330">
        <f t="shared" si="127"/>
        <v>0</v>
      </c>
      <c r="AO197" s="437">
        <f t="shared" si="137"/>
        <v>0</v>
      </c>
      <c r="AP197" s="348" t="b">
        <f t="shared" si="105"/>
        <v>0</v>
      </c>
      <c r="AQ197" s="348">
        <f t="shared" si="106"/>
        <v>0</v>
      </c>
      <c r="AR197" s="348">
        <f t="shared" si="107"/>
        <v>0</v>
      </c>
      <c r="AS197" s="348">
        <f t="shared" si="108"/>
        <v>0</v>
      </c>
      <c r="AT197" s="348" t="str">
        <f t="shared" si="128"/>
        <v/>
      </c>
      <c r="AU197" s="348" t="str">
        <f t="shared" si="129"/>
        <v/>
      </c>
      <c r="AV197" s="348">
        <f t="shared" si="130"/>
        <v>0</v>
      </c>
      <c r="AW197" s="348">
        <f t="shared" si="109"/>
        <v>0</v>
      </c>
      <c r="AX197" s="348">
        <f t="shared" si="110"/>
        <v>0</v>
      </c>
      <c r="AY197" s="330">
        <f t="shared" si="111"/>
        <v>0</v>
      </c>
      <c r="AZ197" s="330">
        <f t="shared" si="112"/>
        <v>0</v>
      </c>
      <c r="BA197" s="330">
        <f t="shared" si="113"/>
        <v>0</v>
      </c>
      <c r="BB197" s="330">
        <f t="shared" si="114"/>
        <v>0</v>
      </c>
      <c r="BC197" s="330">
        <f t="shared" si="115"/>
        <v>0</v>
      </c>
      <c r="BD197" s="330">
        <f t="shared" si="116"/>
        <v>0</v>
      </c>
      <c r="BE197" s="330">
        <f t="shared" si="131"/>
        <v>0</v>
      </c>
      <c r="BF197" s="330">
        <f t="shared" si="117"/>
        <v>0</v>
      </c>
      <c r="BG197" s="330">
        <f t="shared" si="118"/>
        <v>0</v>
      </c>
      <c r="BH197" s="330" t="str">
        <f t="shared" si="119"/>
        <v/>
      </c>
      <c r="BI197" s="330" t="str">
        <f t="shared" si="132"/>
        <v/>
      </c>
      <c r="BJ197" s="330" t="str">
        <f t="shared" si="133"/>
        <v/>
      </c>
      <c r="BK197" s="330" t="str">
        <f t="shared" si="120"/>
        <v/>
      </c>
      <c r="BL197" s="330" t="str">
        <f t="shared" si="121"/>
        <v/>
      </c>
      <c r="BM197" s="330" t="str">
        <f t="shared" si="134"/>
        <v/>
      </c>
      <c r="BN197" s="330" t="str">
        <f t="shared" si="138"/>
        <v/>
      </c>
      <c r="BO197" s="330">
        <f t="shared" si="122"/>
        <v>0</v>
      </c>
      <c r="BP197" s="330">
        <f t="shared" si="123"/>
        <v>0</v>
      </c>
      <c r="BQ197" s="330">
        <f t="shared" si="124"/>
        <v>0</v>
      </c>
      <c r="BR197" s="330" t="str">
        <f t="shared" si="125"/>
        <v/>
      </c>
      <c r="BS197" s="432" t="str">
        <f t="shared" si="135"/>
        <v/>
      </c>
    </row>
    <row r="198" spans="1:71">
      <c r="A198" s="592"/>
      <c r="B198" s="592"/>
      <c r="C198" s="592"/>
      <c r="D198" s="592"/>
      <c r="E198" s="592"/>
      <c r="F198" s="592"/>
      <c r="G198" s="592"/>
      <c r="H198" s="592"/>
      <c r="I198" s="592"/>
      <c r="J198" s="592"/>
      <c r="AI198" s="364">
        <v>153</v>
      </c>
      <c r="AJ198" s="330">
        <f t="shared" si="103"/>
        <v>0</v>
      </c>
      <c r="AK198" s="344" t="str">
        <f t="shared" si="104"/>
        <v>None</v>
      </c>
      <c r="AL198" s="330">
        <f t="shared" si="126"/>
        <v>0</v>
      </c>
      <c r="AM198" s="336">
        <f t="shared" si="136"/>
        <v>0</v>
      </c>
      <c r="AN198" s="330">
        <f t="shared" si="127"/>
        <v>0</v>
      </c>
      <c r="AO198" s="437">
        <f t="shared" si="137"/>
        <v>0</v>
      </c>
      <c r="AP198" s="348" t="b">
        <f t="shared" si="105"/>
        <v>0</v>
      </c>
      <c r="AQ198" s="348">
        <f t="shared" si="106"/>
        <v>0</v>
      </c>
      <c r="AR198" s="348">
        <f t="shared" si="107"/>
        <v>0</v>
      </c>
      <c r="AS198" s="348">
        <f t="shared" si="108"/>
        <v>0</v>
      </c>
      <c r="AT198" s="348" t="str">
        <f t="shared" si="128"/>
        <v/>
      </c>
      <c r="AU198" s="348" t="str">
        <f t="shared" si="129"/>
        <v/>
      </c>
      <c r="AV198" s="348">
        <f t="shared" si="130"/>
        <v>0</v>
      </c>
      <c r="AW198" s="348">
        <f t="shared" si="109"/>
        <v>0</v>
      </c>
      <c r="AX198" s="348">
        <f t="shared" si="110"/>
        <v>0</v>
      </c>
      <c r="AY198" s="330">
        <f t="shared" si="111"/>
        <v>0</v>
      </c>
      <c r="AZ198" s="330">
        <f t="shared" si="112"/>
        <v>0</v>
      </c>
      <c r="BA198" s="330">
        <f t="shared" si="113"/>
        <v>0</v>
      </c>
      <c r="BB198" s="330">
        <f t="shared" si="114"/>
        <v>0</v>
      </c>
      <c r="BC198" s="330">
        <f t="shared" si="115"/>
        <v>0</v>
      </c>
      <c r="BD198" s="330">
        <f t="shared" si="116"/>
        <v>0</v>
      </c>
      <c r="BE198" s="330">
        <f t="shared" si="131"/>
        <v>0</v>
      </c>
      <c r="BF198" s="330">
        <f t="shared" si="117"/>
        <v>0</v>
      </c>
      <c r="BG198" s="330">
        <f t="shared" si="118"/>
        <v>0</v>
      </c>
      <c r="BH198" s="330" t="str">
        <f t="shared" si="119"/>
        <v/>
      </c>
      <c r="BI198" s="330" t="str">
        <f t="shared" si="132"/>
        <v/>
      </c>
      <c r="BJ198" s="330" t="str">
        <f t="shared" si="133"/>
        <v/>
      </c>
      <c r="BK198" s="330" t="str">
        <f t="shared" si="120"/>
        <v/>
      </c>
      <c r="BL198" s="330" t="str">
        <f t="shared" si="121"/>
        <v/>
      </c>
      <c r="BM198" s="330" t="str">
        <f t="shared" si="134"/>
        <v/>
      </c>
      <c r="BN198" s="330" t="str">
        <f t="shared" si="138"/>
        <v/>
      </c>
      <c r="BO198" s="330">
        <f t="shared" si="122"/>
        <v>0</v>
      </c>
      <c r="BP198" s="330">
        <f t="shared" si="123"/>
        <v>0</v>
      </c>
      <c r="BQ198" s="330">
        <f t="shared" si="124"/>
        <v>0</v>
      </c>
      <c r="BR198" s="330" t="str">
        <f t="shared" si="125"/>
        <v/>
      </c>
      <c r="BS198" s="432" t="str">
        <f t="shared" si="135"/>
        <v/>
      </c>
    </row>
    <row r="199" spans="1:71">
      <c r="A199" s="592"/>
      <c r="B199" s="592"/>
      <c r="C199" s="592"/>
      <c r="D199" s="592"/>
      <c r="E199" s="592"/>
      <c r="F199" s="592"/>
      <c r="G199" s="592"/>
      <c r="H199" s="592"/>
      <c r="I199" s="592"/>
      <c r="J199" s="592"/>
      <c r="AI199" s="364">
        <v>154</v>
      </c>
      <c r="AJ199" s="330">
        <f t="shared" si="103"/>
        <v>0</v>
      </c>
      <c r="AK199" s="344" t="str">
        <f t="shared" si="104"/>
        <v>None</v>
      </c>
      <c r="AL199" s="330">
        <f t="shared" si="126"/>
        <v>0</v>
      </c>
      <c r="AM199" s="336">
        <f t="shared" si="136"/>
        <v>0</v>
      </c>
      <c r="AN199" s="330">
        <f t="shared" si="127"/>
        <v>0</v>
      </c>
      <c r="AO199" s="437">
        <f t="shared" si="137"/>
        <v>0</v>
      </c>
      <c r="AP199" s="348" t="b">
        <f t="shared" si="105"/>
        <v>0</v>
      </c>
      <c r="AQ199" s="348">
        <f t="shared" si="106"/>
        <v>0</v>
      </c>
      <c r="AR199" s="348">
        <f t="shared" si="107"/>
        <v>0</v>
      </c>
      <c r="AS199" s="348">
        <f t="shared" si="108"/>
        <v>0</v>
      </c>
      <c r="AT199" s="348" t="str">
        <f t="shared" si="128"/>
        <v/>
      </c>
      <c r="AU199" s="348" t="str">
        <f t="shared" si="129"/>
        <v/>
      </c>
      <c r="AV199" s="348">
        <f t="shared" si="130"/>
        <v>0</v>
      </c>
      <c r="AW199" s="348">
        <f t="shared" si="109"/>
        <v>0</v>
      </c>
      <c r="AX199" s="348">
        <f t="shared" si="110"/>
        <v>0</v>
      </c>
      <c r="AY199" s="330">
        <f t="shared" si="111"/>
        <v>0</v>
      </c>
      <c r="AZ199" s="330">
        <f t="shared" si="112"/>
        <v>0</v>
      </c>
      <c r="BA199" s="330">
        <f t="shared" si="113"/>
        <v>0</v>
      </c>
      <c r="BB199" s="330">
        <f t="shared" si="114"/>
        <v>0</v>
      </c>
      <c r="BC199" s="330">
        <f t="shared" si="115"/>
        <v>0</v>
      </c>
      <c r="BD199" s="330">
        <f t="shared" si="116"/>
        <v>0</v>
      </c>
      <c r="BE199" s="330">
        <f t="shared" si="131"/>
        <v>0</v>
      </c>
      <c r="BF199" s="330">
        <f t="shared" si="117"/>
        <v>0</v>
      </c>
      <c r="BG199" s="330">
        <f t="shared" si="118"/>
        <v>0</v>
      </c>
      <c r="BH199" s="330" t="str">
        <f t="shared" si="119"/>
        <v/>
      </c>
      <c r="BI199" s="330" t="str">
        <f t="shared" si="132"/>
        <v/>
      </c>
      <c r="BJ199" s="330" t="str">
        <f t="shared" si="133"/>
        <v/>
      </c>
      <c r="BK199" s="330" t="str">
        <f t="shared" si="120"/>
        <v/>
      </c>
      <c r="BL199" s="330" t="str">
        <f t="shared" si="121"/>
        <v/>
      </c>
      <c r="BM199" s="330" t="str">
        <f t="shared" si="134"/>
        <v/>
      </c>
      <c r="BN199" s="330" t="str">
        <f t="shared" si="138"/>
        <v/>
      </c>
      <c r="BO199" s="330">
        <f t="shared" si="122"/>
        <v>0</v>
      </c>
      <c r="BP199" s="330">
        <f t="shared" si="123"/>
        <v>0</v>
      </c>
      <c r="BQ199" s="330">
        <f t="shared" si="124"/>
        <v>0</v>
      </c>
      <c r="BR199" s="330" t="str">
        <f t="shared" si="125"/>
        <v/>
      </c>
      <c r="BS199" s="432" t="str">
        <f t="shared" si="135"/>
        <v/>
      </c>
    </row>
    <row r="200" spans="1:71">
      <c r="A200" s="592"/>
      <c r="B200" s="592"/>
      <c r="C200" s="592"/>
      <c r="D200" s="592"/>
      <c r="E200" s="592"/>
      <c r="F200" s="592"/>
      <c r="G200" s="592"/>
      <c r="H200" s="592"/>
      <c r="I200" s="592"/>
      <c r="J200" s="592"/>
      <c r="AI200" s="364">
        <v>155</v>
      </c>
      <c r="AJ200" s="330">
        <f t="shared" si="103"/>
        <v>0</v>
      </c>
      <c r="AK200" s="344" t="str">
        <f t="shared" si="104"/>
        <v>None</v>
      </c>
      <c r="AL200" s="330">
        <f t="shared" si="126"/>
        <v>0</v>
      </c>
      <c r="AM200" s="336">
        <f t="shared" si="136"/>
        <v>0</v>
      </c>
      <c r="AN200" s="330">
        <f t="shared" si="127"/>
        <v>0</v>
      </c>
      <c r="AO200" s="437">
        <f t="shared" si="137"/>
        <v>0</v>
      </c>
      <c r="AP200" s="348" t="b">
        <f t="shared" si="105"/>
        <v>0</v>
      </c>
      <c r="AQ200" s="348">
        <f t="shared" si="106"/>
        <v>0</v>
      </c>
      <c r="AR200" s="348">
        <f t="shared" si="107"/>
        <v>0</v>
      </c>
      <c r="AS200" s="348">
        <f t="shared" si="108"/>
        <v>0</v>
      </c>
      <c r="AT200" s="348" t="str">
        <f t="shared" si="128"/>
        <v/>
      </c>
      <c r="AU200" s="348" t="str">
        <f t="shared" si="129"/>
        <v/>
      </c>
      <c r="AV200" s="348">
        <f t="shared" si="130"/>
        <v>0</v>
      </c>
      <c r="AW200" s="348">
        <f t="shared" si="109"/>
        <v>0</v>
      </c>
      <c r="AX200" s="348">
        <f t="shared" si="110"/>
        <v>0</v>
      </c>
      <c r="AY200" s="330">
        <f t="shared" si="111"/>
        <v>0</v>
      </c>
      <c r="AZ200" s="330">
        <f t="shared" si="112"/>
        <v>0</v>
      </c>
      <c r="BA200" s="330">
        <f t="shared" si="113"/>
        <v>0</v>
      </c>
      <c r="BB200" s="330">
        <f t="shared" si="114"/>
        <v>0</v>
      </c>
      <c r="BC200" s="330">
        <f t="shared" si="115"/>
        <v>0</v>
      </c>
      <c r="BD200" s="330">
        <f t="shared" si="116"/>
        <v>0</v>
      </c>
      <c r="BE200" s="330">
        <f t="shared" si="131"/>
        <v>0</v>
      </c>
      <c r="BF200" s="330">
        <f t="shared" si="117"/>
        <v>0</v>
      </c>
      <c r="BG200" s="330">
        <f t="shared" si="118"/>
        <v>0</v>
      </c>
      <c r="BH200" s="330" t="str">
        <f t="shared" si="119"/>
        <v/>
      </c>
      <c r="BI200" s="330" t="str">
        <f t="shared" si="132"/>
        <v/>
      </c>
      <c r="BJ200" s="330" t="str">
        <f t="shared" si="133"/>
        <v/>
      </c>
      <c r="BK200" s="330" t="str">
        <f t="shared" si="120"/>
        <v/>
      </c>
      <c r="BL200" s="330" t="str">
        <f t="shared" si="121"/>
        <v/>
      </c>
      <c r="BM200" s="330" t="str">
        <f t="shared" si="134"/>
        <v/>
      </c>
      <c r="BN200" s="330" t="str">
        <f t="shared" si="138"/>
        <v/>
      </c>
      <c r="BO200" s="330">
        <f t="shared" si="122"/>
        <v>0</v>
      </c>
      <c r="BP200" s="330">
        <f t="shared" si="123"/>
        <v>0</v>
      </c>
      <c r="BQ200" s="330">
        <f t="shared" si="124"/>
        <v>0</v>
      </c>
      <c r="BR200" s="330" t="str">
        <f t="shared" si="125"/>
        <v/>
      </c>
      <c r="BS200" s="432" t="str">
        <f t="shared" si="135"/>
        <v/>
      </c>
    </row>
    <row r="201" spans="1:71">
      <c r="A201" s="592"/>
      <c r="B201" s="592"/>
      <c r="C201" s="592"/>
      <c r="D201" s="592"/>
      <c r="E201" s="592"/>
      <c r="F201" s="592"/>
      <c r="G201" s="592"/>
      <c r="H201" s="592"/>
      <c r="I201" s="592"/>
      <c r="J201" s="592"/>
      <c r="AI201" s="364">
        <v>156</v>
      </c>
      <c r="AJ201" s="330">
        <f t="shared" si="103"/>
        <v>0</v>
      </c>
      <c r="AK201" s="344" t="str">
        <f t="shared" si="104"/>
        <v>None</v>
      </c>
      <c r="AL201" s="330">
        <f t="shared" si="126"/>
        <v>0</v>
      </c>
      <c r="AM201" s="336">
        <f t="shared" si="136"/>
        <v>0</v>
      </c>
      <c r="AN201" s="330">
        <f t="shared" si="127"/>
        <v>0</v>
      </c>
      <c r="AO201" s="437">
        <f t="shared" si="137"/>
        <v>0</v>
      </c>
      <c r="AP201" s="348" t="b">
        <f t="shared" si="105"/>
        <v>0</v>
      </c>
      <c r="AQ201" s="348">
        <f t="shared" si="106"/>
        <v>0</v>
      </c>
      <c r="AR201" s="348">
        <f t="shared" si="107"/>
        <v>0</v>
      </c>
      <c r="AS201" s="348">
        <f t="shared" si="108"/>
        <v>0</v>
      </c>
      <c r="AT201" s="348" t="str">
        <f t="shared" si="128"/>
        <v/>
      </c>
      <c r="AU201" s="348" t="str">
        <f t="shared" si="129"/>
        <v/>
      </c>
      <c r="AV201" s="348">
        <f t="shared" si="130"/>
        <v>0</v>
      </c>
      <c r="AW201" s="348">
        <f t="shared" si="109"/>
        <v>0</v>
      </c>
      <c r="AX201" s="348">
        <f t="shared" si="110"/>
        <v>0</v>
      </c>
      <c r="AY201" s="330">
        <f t="shared" si="111"/>
        <v>0</v>
      </c>
      <c r="AZ201" s="330">
        <f t="shared" si="112"/>
        <v>0</v>
      </c>
      <c r="BA201" s="330">
        <f t="shared" si="113"/>
        <v>0</v>
      </c>
      <c r="BB201" s="330">
        <f t="shared" si="114"/>
        <v>0</v>
      </c>
      <c r="BC201" s="330">
        <f t="shared" si="115"/>
        <v>0</v>
      </c>
      <c r="BD201" s="330">
        <f t="shared" si="116"/>
        <v>0</v>
      </c>
      <c r="BE201" s="330">
        <f t="shared" si="131"/>
        <v>0</v>
      </c>
      <c r="BF201" s="330">
        <f t="shared" si="117"/>
        <v>0</v>
      </c>
      <c r="BG201" s="330">
        <f t="shared" si="118"/>
        <v>0</v>
      </c>
      <c r="BH201" s="330" t="str">
        <f t="shared" si="119"/>
        <v/>
      </c>
      <c r="BI201" s="330" t="str">
        <f t="shared" si="132"/>
        <v/>
      </c>
      <c r="BJ201" s="330" t="str">
        <f t="shared" si="133"/>
        <v/>
      </c>
      <c r="BK201" s="330" t="str">
        <f t="shared" si="120"/>
        <v/>
      </c>
      <c r="BL201" s="330" t="str">
        <f t="shared" si="121"/>
        <v/>
      </c>
      <c r="BM201" s="330" t="str">
        <f t="shared" si="134"/>
        <v/>
      </c>
      <c r="BN201" s="330" t="str">
        <f t="shared" si="138"/>
        <v/>
      </c>
      <c r="BO201" s="330">
        <f t="shared" si="122"/>
        <v>0</v>
      </c>
      <c r="BP201" s="330">
        <f t="shared" si="123"/>
        <v>0</v>
      </c>
      <c r="BQ201" s="330">
        <f t="shared" si="124"/>
        <v>0</v>
      </c>
      <c r="BR201" s="330" t="str">
        <f t="shared" si="125"/>
        <v/>
      </c>
      <c r="BS201" s="432" t="str">
        <f t="shared" si="135"/>
        <v/>
      </c>
    </row>
    <row r="202" spans="1:71">
      <c r="A202" s="592"/>
      <c r="B202" s="592"/>
      <c r="C202" s="592"/>
      <c r="D202" s="592"/>
      <c r="E202" s="592"/>
      <c r="F202" s="592"/>
      <c r="G202" s="592"/>
      <c r="H202" s="592"/>
      <c r="I202" s="592"/>
      <c r="J202" s="592"/>
      <c r="AI202" s="364">
        <v>157</v>
      </c>
      <c r="AJ202" s="330">
        <f t="shared" si="103"/>
        <v>0</v>
      </c>
      <c r="AK202" s="344" t="str">
        <f t="shared" si="104"/>
        <v>None</v>
      </c>
      <c r="AL202" s="330">
        <f t="shared" si="126"/>
        <v>0</v>
      </c>
      <c r="AM202" s="336">
        <f t="shared" si="136"/>
        <v>0</v>
      </c>
      <c r="AN202" s="330">
        <f t="shared" si="127"/>
        <v>0</v>
      </c>
      <c r="AO202" s="437">
        <f t="shared" si="137"/>
        <v>0</v>
      </c>
      <c r="AP202" s="348" t="b">
        <f t="shared" si="105"/>
        <v>0</v>
      </c>
      <c r="AQ202" s="348">
        <f t="shared" si="106"/>
        <v>0</v>
      </c>
      <c r="AR202" s="348">
        <f t="shared" si="107"/>
        <v>0</v>
      </c>
      <c r="AS202" s="348">
        <f t="shared" si="108"/>
        <v>0</v>
      </c>
      <c r="AT202" s="348" t="str">
        <f t="shared" si="128"/>
        <v/>
      </c>
      <c r="AU202" s="348" t="str">
        <f t="shared" si="129"/>
        <v/>
      </c>
      <c r="AV202" s="348">
        <f t="shared" si="130"/>
        <v>0</v>
      </c>
      <c r="AW202" s="348">
        <f t="shared" si="109"/>
        <v>0</v>
      </c>
      <c r="AX202" s="348">
        <f t="shared" si="110"/>
        <v>0</v>
      </c>
      <c r="AY202" s="330">
        <f t="shared" si="111"/>
        <v>0</v>
      </c>
      <c r="AZ202" s="330">
        <f t="shared" si="112"/>
        <v>0</v>
      </c>
      <c r="BA202" s="330">
        <f t="shared" si="113"/>
        <v>0</v>
      </c>
      <c r="BB202" s="330">
        <f t="shared" si="114"/>
        <v>0</v>
      </c>
      <c r="BC202" s="330">
        <f t="shared" si="115"/>
        <v>0</v>
      </c>
      <c r="BD202" s="330">
        <f t="shared" si="116"/>
        <v>0</v>
      </c>
      <c r="BE202" s="330">
        <f t="shared" si="131"/>
        <v>0</v>
      </c>
      <c r="BF202" s="330">
        <f t="shared" si="117"/>
        <v>0</v>
      </c>
      <c r="BG202" s="330">
        <f t="shared" si="118"/>
        <v>0</v>
      </c>
      <c r="BH202" s="330" t="str">
        <f t="shared" si="119"/>
        <v/>
      </c>
      <c r="BI202" s="330" t="str">
        <f t="shared" si="132"/>
        <v/>
      </c>
      <c r="BJ202" s="330" t="str">
        <f t="shared" si="133"/>
        <v/>
      </c>
      <c r="BK202" s="330" t="str">
        <f t="shared" si="120"/>
        <v/>
      </c>
      <c r="BL202" s="330" t="str">
        <f t="shared" si="121"/>
        <v/>
      </c>
      <c r="BM202" s="330" t="str">
        <f t="shared" si="134"/>
        <v/>
      </c>
      <c r="BN202" s="330" t="str">
        <f t="shared" si="138"/>
        <v/>
      </c>
      <c r="BO202" s="330">
        <f t="shared" si="122"/>
        <v>0</v>
      </c>
      <c r="BP202" s="330">
        <f t="shared" si="123"/>
        <v>0</v>
      </c>
      <c r="BQ202" s="330">
        <f t="shared" si="124"/>
        <v>0</v>
      </c>
      <c r="BR202" s="330" t="str">
        <f t="shared" si="125"/>
        <v/>
      </c>
      <c r="BS202" s="432" t="str">
        <f t="shared" si="135"/>
        <v/>
      </c>
    </row>
    <row r="203" spans="1:71">
      <c r="A203" s="592"/>
      <c r="B203" s="592"/>
      <c r="C203" s="592"/>
      <c r="D203" s="592"/>
      <c r="E203" s="592"/>
      <c r="F203" s="592"/>
      <c r="G203" s="592"/>
      <c r="H203" s="592"/>
      <c r="I203" s="592"/>
      <c r="J203" s="592"/>
      <c r="AI203" s="364">
        <v>158</v>
      </c>
      <c r="AJ203" s="330">
        <f t="shared" si="103"/>
        <v>0</v>
      </c>
      <c r="AK203" s="344" t="str">
        <f t="shared" si="104"/>
        <v>None</v>
      </c>
      <c r="AL203" s="330">
        <f t="shared" si="126"/>
        <v>0</v>
      </c>
      <c r="AM203" s="336">
        <f t="shared" si="136"/>
        <v>0</v>
      </c>
      <c r="AN203" s="330">
        <f t="shared" si="127"/>
        <v>0</v>
      </c>
      <c r="AO203" s="437">
        <f t="shared" si="137"/>
        <v>0</v>
      </c>
      <c r="AP203" s="348" t="b">
        <f t="shared" si="105"/>
        <v>0</v>
      </c>
      <c r="AQ203" s="348">
        <f t="shared" si="106"/>
        <v>0</v>
      </c>
      <c r="AR203" s="348">
        <f t="shared" si="107"/>
        <v>0</v>
      </c>
      <c r="AS203" s="348">
        <f t="shared" si="108"/>
        <v>0</v>
      </c>
      <c r="AT203" s="348" t="str">
        <f t="shared" si="128"/>
        <v/>
      </c>
      <c r="AU203" s="348" t="str">
        <f t="shared" si="129"/>
        <v/>
      </c>
      <c r="AV203" s="348">
        <f t="shared" si="130"/>
        <v>0</v>
      </c>
      <c r="AW203" s="348">
        <f t="shared" si="109"/>
        <v>0</v>
      </c>
      <c r="AX203" s="348">
        <f t="shared" si="110"/>
        <v>0</v>
      </c>
      <c r="AY203" s="330">
        <f t="shared" si="111"/>
        <v>0</v>
      </c>
      <c r="AZ203" s="330">
        <f t="shared" si="112"/>
        <v>0</v>
      </c>
      <c r="BA203" s="330">
        <f t="shared" si="113"/>
        <v>0</v>
      </c>
      <c r="BB203" s="330">
        <f t="shared" si="114"/>
        <v>0</v>
      </c>
      <c r="BC203" s="330">
        <f t="shared" si="115"/>
        <v>0</v>
      </c>
      <c r="BD203" s="330">
        <f t="shared" si="116"/>
        <v>0</v>
      </c>
      <c r="BE203" s="330">
        <f t="shared" si="131"/>
        <v>0</v>
      </c>
      <c r="BF203" s="330">
        <f t="shared" si="117"/>
        <v>0</v>
      </c>
      <c r="BG203" s="330">
        <f t="shared" si="118"/>
        <v>0</v>
      </c>
      <c r="BH203" s="330" t="str">
        <f t="shared" si="119"/>
        <v/>
      </c>
      <c r="BI203" s="330" t="str">
        <f t="shared" si="132"/>
        <v/>
      </c>
      <c r="BJ203" s="330" t="str">
        <f t="shared" si="133"/>
        <v/>
      </c>
      <c r="BK203" s="330" t="str">
        <f t="shared" si="120"/>
        <v/>
      </c>
      <c r="BL203" s="330" t="str">
        <f t="shared" si="121"/>
        <v/>
      </c>
      <c r="BM203" s="330" t="str">
        <f t="shared" si="134"/>
        <v/>
      </c>
      <c r="BN203" s="330" t="str">
        <f t="shared" si="138"/>
        <v/>
      </c>
      <c r="BO203" s="330">
        <f t="shared" si="122"/>
        <v>0</v>
      </c>
      <c r="BP203" s="330">
        <f t="shared" si="123"/>
        <v>0</v>
      </c>
      <c r="BQ203" s="330">
        <f t="shared" si="124"/>
        <v>0</v>
      </c>
      <c r="BR203" s="330" t="str">
        <f t="shared" si="125"/>
        <v/>
      </c>
      <c r="BS203" s="432" t="str">
        <f t="shared" si="135"/>
        <v/>
      </c>
    </row>
    <row r="204" spans="1:71">
      <c r="A204" s="592"/>
      <c r="B204" s="592"/>
      <c r="C204" s="592"/>
      <c r="D204" s="592"/>
      <c r="E204" s="592"/>
      <c r="F204" s="592"/>
      <c r="G204" s="592"/>
      <c r="H204" s="592"/>
      <c r="I204" s="592"/>
      <c r="J204" s="592"/>
      <c r="AI204" s="364">
        <v>159</v>
      </c>
      <c r="AJ204" s="330">
        <f t="shared" si="103"/>
        <v>0</v>
      </c>
      <c r="AK204" s="344" t="str">
        <f t="shared" si="104"/>
        <v>None</v>
      </c>
      <c r="AL204" s="330">
        <f t="shared" si="126"/>
        <v>0</v>
      </c>
      <c r="AM204" s="336">
        <f t="shared" si="136"/>
        <v>0</v>
      </c>
      <c r="AN204" s="330">
        <f t="shared" si="127"/>
        <v>0</v>
      </c>
      <c r="AO204" s="437">
        <f t="shared" si="137"/>
        <v>0</v>
      </c>
      <c r="AP204" s="348" t="b">
        <f t="shared" si="105"/>
        <v>0</v>
      </c>
      <c r="AQ204" s="348">
        <f t="shared" si="106"/>
        <v>0</v>
      </c>
      <c r="AR204" s="348">
        <f t="shared" si="107"/>
        <v>0</v>
      </c>
      <c r="AS204" s="348">
        <f t="shared" si="108"/>
        <v>0</v>
      </c>
      <c r="AT204" s="348" t="str">
        <f t="shared" si="128"/>
        <v/>
      </c>
      <c r="AU204" s="348" t="str">
        <f t="shared" si="129"/>
        <v/>
      </c>
      <c r="AV204" s="348">
        <f t="shared" si="130"/>
        <v>0</v>
      </c>
      <c r="AW204" s="348">
        <f t="shared" si="109"/>
        <v>0</v>
      </c>
      <c r="AX204" s="348">
        <f t="shared" si="110"/>
        <v>0</v>
      </c>
      <c r="AY204" s="330">
        <f t="shared" si="111"/>
        <v>0</v>
      </c>
      <c r="AZ204" s="330">
        <f t="shared" si="112"/>
        <v>0</v>
      </c>
      <c r="BA204" s="330">
        <f t="shared" si="113"/>
        <v>0</v>
      </c>
      <c r="BB204" s="330">
        <f t="shared" si="114"/>
        <v>0</v>
      </c>
      <c r="BC204" s="330">
        <f t="shared" si="115"/>
        <v>0</v>
      </c>
      <c r="BD204" s="330">
        <f t="shared" si="116"/>
        <v>0</v>
      </c>
      <c r="BE204" s="330">
        <f t="shared" si="131"/>
        <v>0</v>
      </c>
      <c r="BF204" s="330">
        <f t="shared" si="117"/>
        <v>0</v>
      </c>
      <c r="BG204" s="330">
        <f t="shared" si="118"/>
        <v>0</v>
      </c>
      <c r="BH204" s="330" t="str">
        <f t="shared" si="119"/>
        <v/>
      </c>
      <c r="BI204" s="330" t="str">
        <f t="shared" si="132"/>
        <v/>
      </c>
      <c r="BJ204" s="330" t="str">
        <f t="shared" si="133"/>
        <v/>
      </c>
      <c r="BK204" s="330" t="str">
        <f t="shared" si="120"/>
        <v/>
      </c>
      <c r="BL204" s="330" t="str">
        <f t="shared" si="121"/>
        <v/>
      </c>
      <c r="BM204" s="330" t="str">
        <f t="shared" si="134"/>
        <v/>
      </c>
      <c r="BN204" s="330" t="str">
        <f t="shared" si="138"/>
        <v/>
      </c>
      <c r="BO204" s="330">
        <f t="shared" si="122"/>
        <v>0</v>
      </c>
      <c r="BP204" s="330">
        <f t="shared" si="123"/>
        <v>0</v>
      </c>
      <c r="BQ204" s="330">
        <f t="shared" si="124"/>
        <v>0</v>
      </c>
      <c r="BR204" s="330" t="str">
        <f t="shared" si="125"/>
        <v/>
      </c>
      <c r="BS204" s="432" t="str">
        <f t="shared" si="135"/>
        <v/>
      </c>
    </row>
    <row r="205" spans="1:71">
      <c r="A205" s="592"/>
      <c r="B205" s="592"/>
      <c r="C205" s="592"/>
      <c r="D205" s="592"/>
      <c r="E205" s="592"/>
      <c r="F205" s="592"/>
      <c r="G205" s="592"/>
      <c r="H205" s="592"/>
      <c r="I205" s="592"/>
      <c r="J205" s="592"/>
      <c r="AI205" s="364">
        <v>160</v>
      </c>
      <c r="AJ205" s="330">
        <f t="shared" si="103"/>
        <v>0</v>
      </c>
      <c r="AK205" s="344" t="str">
        <f t="shared" si="104"/>
        <v>None</v>
      </c>
      <c r="AL205" s="330">
        <f t="shared" si="126"/>
        <v>0</v>
      </c>
      <c r="AM205" s="336">
        <f t="shared" si="136"/>
        <v>0</v>
      </c>
      <c r="AN205" s="330">
        <f t="shared" si="127"/>
        <v>0</v>
      </c>
      <c r="AO205" s="437">
        <f t="shared" si="137"/>
        <v>0</v>
      </c>
      <c r="AP205" s="348" t="b">
        <f t="shared" si="105"/>
        <v>0</v>
      </c>
      <c r="AQ205" s="348">
        <f t="shared" si="106"/>
        <v>0</v>
      </c>
      <c r="AR205" s="348">
        <f t="shared" si="107"/>
        <v>0</v>
      </c>
      <c r="AS205" s="348">
        <f t="shared" si="108"/>
        <v>0</v>
      </c>
      <c r="AT205" s="348" t="str">
        <f t="shared" si="128"/>
        <v/>
      </c>
      <c r="AU205" s="348" t="str">
        <f t="shared" si="129"/>
        <v/>
      </c>
      <c r="AV205" s="348">
        <f t="shared" si="130"/>
        <v>0</v>
      </c>
      <c r="AW205" s="348">
        <f t="shared" si="109"/>
        <v>0</v>
      </c>
      <c r="AX205" s="348">
        <f t="shared" si="110"/>
        <v>0</v>
      </c>
      <c r="AY205" s="330">
        <f t="shared" si="111"/>
        <v>0</v>
      </c>
      <c r="AZ205" s="330">
        <f t="shared" si="112"/>
        <v>0</v>
      </c>
      <c r="BA205" s="330">
        <f t="shared" si="113"/>
        <v>0</v>
      </c>
      <c r="BB205" s="330">
        <f t="shared" si="114"/>
        <v>0</v>
      </c>
      <c r="BC205" s="330">
        <f t="shared" si="115"/>
        <v>0</v>
      </c>
      <c r="BD205" s="330">
        <f t="shared" si="116"/>
        <v>0</v>
      </c>
      <c r="BE205" s="330">
        <f t="shared" si="131"/>
        <v>0</v>
      </c>
      <c r="BF205" s="330">
        <f t="shared" si="117"/>
        <v>0</v>
      </c>
      <c r="BG205" s="330">
        <f t="shared" si="118"/>
        <v>0</v>
      </c>
      <c r="BH205" s="330" t="str">
        <f t="shared" si="119"/>
        <v/>
      </c>
      <c r="BI205" s="330" t="str">
        <f t="shared" si="132"/>
        <v/>
      </c>
      <c r="BJ205" s="330" t="str">
        <f t="shared" si="133"/>
        <v/>
      </c>
      <c r="BK205" s="330" t="str">
        <f t="shared" si="120"/>
        <v/>
      </c>
      <c r="BL205" s="330" t="str">
        <f t="shared" si="121"/>
        <v/>
      </c>
      <c r="BM205" s="330" t="str">
        <f t="shared" si="134"/>
        <v/>
      </c>
      <c r="BN205" s="330" t="str">
        <f t="shared" si="138"/>
        <v/>
      </c>
      <c r="BO205" s="330">
        <f t="shared" si="122"/>
        <v>0</v>
      </c>
      <c r="BP205" s="330">
        <f t="shared" si="123"/>
        <v>0</v>
      </c>
      <c r="BQ205" s="330">
        <f t="shared" si="124"/>
        <v>0</v>
      </c>
      <c r="BR205" s="330" t="str">
        <f t="shared" si="125"/>
        <v/>
      </c>
      <c r="BS205" s="432" t="str">
        <f t="shared" si="135"/>
        <v/>
      </c>
    </row>
    <row r="206" spans="1:71">
      <c r="A206" s="592"/>
      <c r="B206" s="592"/>
      <c r="C206" s="592"/>
      <c r="D206" s="592"/>
      <c r="E206" s="592"/>
      <c r="F206" s="592"/>
      <c r="G206" s="592"/>
      <c r="H206" s="592"/>
      <c r="I206" s="592"/>
      <c r="J206" s="592"/>
      <c r="AI206" s="364">
        <v>161</v>
      </c>
      <c r="AJ206" s="330">
        <f t="shared" si="103"/>
        <v>0</v>
      </c>
      <c r="AK206" s="344" t="str">
        <f t="shared" si="104"/>
        <v>None</v>
      </c>
      <c r="AL206" s="330">
        <f t="shared" ref="AL206:AL237" si="139">$AL$45+ABS(AJ206*$M$19*$M$17)</f>
        <v>0</v>
      </c>
      <c r="AM206" s="336">
        <f t="shared" si="136"/>
        <v>0</v>
      </c>
      <c r="AN206" s="330">
        <f t="shared" ref="AN206:AN237" si="140">$AN$45+ABS(AJ206*$M$19*$M$17)</f>
        <v>0</v>
      </c>
      <c r="AO206" s="437">
        <f t="shared" si="137"/>
        <v>0</v>
      </c>
      <c r="AP206" s="348" t="b">
        <f t="shared" si="105"/>
        <v>0</v>
      </c>
      <c r="AQ206" s="348">
        <f t="shared" si="106"/>
        <v>0</v>
      </c>
      <c r="AR206" s="348">
        <f t="shared" si="107"/>
        <v>0</v>
      </c>
      <c r="AS206" s="348">
        <f t="shared" si="108"/>
        <v>0</v>
      </c>
      <c r="AT206" s="348" t="str">
        <f t="shared" si="128"/>
        <v/>
      </c>
      <c r="AU206" s="348" t="str">
        <f t="shared" si="129"/>
        <v/>
      </c>
      <c r="AV206" s="348">
        <f t="shared" si="130"/>
        <v>0</v>
      </c>
      <c r="AW206" s="348">
        <f t="shared" si="109"/>
        <v>0</v>
      </c>
      <c r="AX206" s="348">
        <f t="shared" si="110"/>
        <v>0</v>
      </c>
      <c r="AY206" s="330">
        <f t="shared" si="111"/>
        <v>0</v>
      </c>
      <c r="AZ206" s="330">
        <f t="shared" si="112"/>
        <v>0</v>
      </c>
      <c r="BA206" s="330">
        <f t="shared" si="113"/>
        <v>0</v>
      </c>
      <c r="BB206" s="330">
        <f t="shared" si="114"/>
        <v>0</v>
      </c>
      <c r="BC206" s="330">
        <f t="shared" si="115"/>
        <v>0</v>
      </c>
      <c r="BD206" s="330">
        <f t="shared" si="116"/>
        <v>0</v>
      </c>
      <c r="BE206" s="330">
        <f t="shared" si="131"/>
        <v>0</v>
      </c>
      <c r="BF206" s="330">
        <f t="shared" si="117"/>
        <v>0</v>
      </c>
      <c r="BG206" s="330">
        <f t="shared" si="118"/>
        <v>0</v>
      </c>
      <c r="BH206" s="330" t="str">
        <f t="shared" si="119"/>
        <v/>
      </c>
      <c r="BI206" s="330" t="str">
        <f t="shared" si="132"/>
        <v/>
      </c>
      <c r="BJ206" s="330" t="str">
        <f t="shared" si="133"/>
        <v/>
      </c>
      <c r="BK206" s="330" t="str">
        <f t="shared" si="120"/>
        <v/>
      </c>
      <c r="BL206" s="330" t="str">
        <f t="shared" si="121"/>
        <v/>
      </c>
      <c r="BM206" s="330" t="str">
        <f t="shared" si="134"/>
        <v/>
      </c>
      <c r="BN206" s="330" t="str">
        <f t="shared" si="138"/>
        <v/>
      </c>
      <c r="BO206" s="330">
        <f t="shared" si="122"/>
        <v>0</v>
      </c>
      <c r="BP206" s="330">
        <f t="shared" si="123"/>
        <v>0</v>
      </c>
      <c r="BQ206" s="330">
        <f t="shared" si="124"/>
        <v>0</v>
      </c>
      <c r="BR206" s="330" t="str">
        <f t="shared" si="125"/>
        <v/>
      </c>
      <c r="BS206" s="432" t="str">
        <f t="shared" si="135"/>
        <v/>
      </c>
    </row>
    <row r="207" spans="1:71">
      <c r="A207" s="592"/>
      <c r="B207" s="592"/>
      <c r="C207" s="592"/>
      <c r="D207" s="592"/>
      <c r="E207" s="592"/>
      <c r="F207" s="592"/>
      <c r="G207" s="592"/>
      <c r="H207" s="592"/>
      <c r="I207" s="592"/>
      <c r="J207" s="592"/>
      <c r="AI207" s="364">
        <v>162</v>
      </c>
      <c r="AJ207" s="330">
        <f t="shared" si="103"/>
        <v>0</v>
      </c>
      <c r="AK207" s="344" t="str">
        <f t="shared" si="104"/>
        <v>None</v>
      </c>
      <c r="AL207" s="330">
        <f t="shared" si="139"/>
        <v>0</v>
      </c>
      <c r="AM207" s="336">
        <f t="shared" si="136"/>
        <v>0</v>
      </c>
      <c r="AN207" s="330">
        <f t="shared" si="140"/>
        <v>0</v>
      </c>
      <c r="AO207" s="437">
        <f t="shared" si="137"/>
        <v>0</v>
      </c>
      <c r="AP207" s="348" t="b">
        <f t="shared" si="105"/>
        <v>0</v>
      </c>
      <c r="AQ207" s="348">
        <f t="shared" si="106"/>
        <v>0</v>
      </c>
      <c r="AR207" s="348">
        <f t="shared" si="107"/>
        <v>0</v>
      </c>
      <c r="AS207" s="348">
        <f t="shared" si="108"/>
        <v>0</v>
      </c>
      <c r="AT207" s="348" t="str">
        <f t="shared" si="128"/>
        <v/>
      </c>
      <c r="AU207" s="348" t="str">
        <f t="shared" si="129"/>
        <v/>
      </c>
      <c r="AV207" s="348">
        <f t="shared" si="130"/>
        <v>0</v>
      </c>
      <c r="AW207" s="348">
        <f t="shared" si="109"/>
        <v>0</v>
      </c>
      <c r="AX207" s="348">
        <f t="shared" si="110"/>
        <v>0</v>
      </c>
      <c r="AY207" s="330">
        <f t="shared" si="111"/>
        <v>0</v>
      </c>
      <c r="AZ207" s="330">
        <f t="shared" si="112"/>
        <v>0</v>
      </c>
      <c r="BA207" s="330">
        <f t="shared" si="113"/>
        <v>0</v>
      </c>
      <c r="BB207" s="330">
        <f t="shared" si="114"/>
        <v>0</v>
      </c>
      <c r="BC207" s="330">
        <f t="shared" si="115"/>
        <v>0</v>
      </c>
      <c r="BD207" s="330">
        <f t="shared" si="116"/>
        <v>0</v>
      </c>
      <c r="BE207" s="330">
        <f t="shared" si="131"/>
        <v>0</v>
      </c>
      <c r="BF207" s="330">
        <f t="shared" si="117"/>
        <v>0</v>
      </c>
      <c r="BG207" s="330">
        <f t="shared" si="118"/>
        <v>0</v>
      </c>
      <c r="BH207" s="330" t="str">
        <f t="shared" si="119"/>
        <v/>
      </c>
      <c r="BI207" s="330" t="str">
        <f t="shared" si="132"/>
        <v/>
      </c>
      <c r="BJ207" s="330" t="str">
        <f t="shared" si="133"/>
        <v/>
      </c>
      <c r="BK207" s="330" t="str">
        <f t="shared" si="120"/>
        <v/>
      </c>
      <c r="BL207" s="330" t="str">
        <f t="shared" si="121"/>
        <v/>
      </c>
      <c r="BM207" s="330" t="str">
        <f t="shared" si="134"/>
        <v/>
      </c>
      <c r="BN207" s="330" t="str">
        <f t="shared" si="138"/>
        <v/>
      </c>
      <c r="BO207" s="330">
        <f t="shared" si="122"/>
        <v>0</v>
      </c>
      <c r="BP207" s="330">
        <f t="shared" si="123"/>
        <v>0</v>
      </c>
      <c r="BQ207" s="330">
        <f t="shared" si="124"/>
        <v>0</v>
      </c>
      <c r="BR207" s="330" t="str">
        <f t="shared" si="125"/>
        <v/>
      </c>
      <c r="BS207" s="432" t="str">
        <f t="shared" si="135"/>
        <v/>
      </c>
    </row>
    <row r="208" spans="1:71">
      <c r="A208" s="592"/>
      <c r="B208" s="592"/>
      <c r="C208" s="592"/>
      <c r="D208" s="592"/>
      <c r="E208" s="592"/>
      <c r="F208" s="592"/>
      <c r="G208" s="592"/>
      <c r="H208" s="592"/>
      <c r="I208" s="592"/>
      <c r="J208" s="592"/>
      <c r="AI208" s="364">
        <v>163</v>
      </c>
      <c r="AJ208" s="330">
        <f t="shared" si="103"/>
        <v>0</v>
      </c>
      <c r="AK208" s="344" t="str">
        <f t="shared" si="104"/>
        <v>None</v>
      </c>
      <c r="AL208" s="330">
        <f t="shared" si="139"/>
        <v>0</v>
      </c>
      <c r="AM208" s="336">
        <f t="shared" si="136"/>
        <v>0</v>
      </c>
      <c r="AN208" s="330">
        <f t="shared" si="140"/>
        <v>0</v>
      </c>
      <c r="AO208" s="437">
        <f t="shared" si="137"/>
        <v>0</v>
      </c>
      <c r="AP208" s="348" t="b">
        <f t="shared" si="105"/>
        <v>0</v>
      </c>
      <c r="AQ208" s="348">
        <f t="shared" si="106"/>
        <v>0</v>
      </c>
      <c r="AR208" s="348">
        <f t="shared" si="107"/>
        <v>0</v>
      </c>
      <c r="AS208" s="348">
        <f t="shared" si="108"/>
        <v>0</v>
      </c>
      <c r="AT208" s="348" t="str">
        <f t="shared" si="128"/>
        <v/>
      </c>
      <c r="AU208" s="348" t="str">
        <f t="shared" si="129"/>
        <v/>
      </c>
      <c r="AV208" s="348">
        <f t="shared" si="130"/>
        <v>0</v>
      </c>
      <c r="AW208" s="348">
        <f t="shared" si="109"/>
        <v>0</v>
      </c>
      <c r="AX208" s="348">
        <f t="shared" si="110"/>
        <v>0</v>
      </c>
      <c r="AY208" s="330">
        <f t="shared" si="111"/>
        <v>0</v>
      </c>
      <c r="AZ208" s="330">
        <f t="shared" si="112"/>
        <v>0</v>
      </c>
      <c r="BA208" s="330">
        <f t="shared" si="113"/>
        <v>0</v>
      </c>
      <c r="BB208" s="330">
        <f t="shared" si="114"/>
        <v>0</v>
      </c>
      <c r="BC208" s="330">
        <f t="shared" si="115"/>
        <v>0</v>
      </c>
      <c r="BD208" s="330">
        <f t="shared" si="116"/>
        <v>0</v>
      </c>
      <c r="BE208" s="330">
        <f t="shared" si="131"/>
        <v>0</v>
      </c>
      <c r="BF208" s="330">
        <f t="shared" si="117"/>
        <v>0</v>
      </c>
      <c r="BG208" s="330">
        <f t="shared" si="118"/>
        <v>0</v>
      </c>
      <c r="BH208" s="330" t="str">
        <f t="shared" si="119"/>
        <v/>
      </c>
      <c r="BI208" s="330" t="str">
        <f t="shared" si="132"/>
        <v/>
      </c>
      <c r="BJ208" s="330" t="str">
        <f t="shared" si="133"/>
        <v/>
      </c>
      <c r="BK208" s="330" t="str">
        <f t="shared" si="120"/>
        <v/>
      </c>
      <c r="BL208" s="330" t="str">
        <f t="shared" si="121"/>
        <v/>
      </c>
      <c r="BM208" s="330" t="str">
        <f t="shared" si="134"/>
        <v/>
      </c>
      <c r="BN208" s="330" t="str">
        <f t="shared" si="138"/>
        <v/>
      </c>
      <c r="BO208" s="330">
        <f t="shared" si="122"/>
        <v>0</v>
      </c>
      <c r="BP208" s="330">
        <f t="shared" si="123"/>
        <v>0</v>
      </c>
      <c r="BQ208" s="330">
        <f t="shared" si="124"/>
        <v>0</v>
      </c>
      <c r="BR208" s="330" t="str">
        <f t="shared" si="125"/>
        <v/>
      </c>
      <c r="BS208" s="432" t="str">
        <f t="shared" si="135"/>
        <v/>
      </c>
    </row>
    <row r="209" spans="1:71">
      <c r="A209" s="592"/>
      <c r="B209" s="592"/>
      <c r="C209" s="592"/>
      <c r="D209" s="592"/>
      <c r="E209" s="592"/>
      <c r="F209" s="592"/>
      <c r="G209" s="592"/>
      <c r="H209" s="592"/>
      <c r="I209" s="592"/>
      <c r="J209" s="592"/>
      <c r="AI209" s="364">
        <v>164</v>
      </c>
      <c r="AJ209" s="330">
        <f t="shared" si="103"/>
        <v>0</v>
      </c>
      <c r="AK209" s="344" t="str">
        <f t="shared" si="104"/>
        <v>None</v>
      </c>
      <c r="AL209" s="330">
        <f t="shared" si="139"/>
        <v>0</v>
      </c>
      <c r="AM209" s="336">
        <f t="shared" si="136"/>
        <v>0</v>
      </c>
      <c r="AN209" s="330">
        <f t="shared" si="140"/>
        <v>0</v>
      </c>
      <c r="AO209" s="437">
        <f t="shared" si="137"/>
        <v>0</v>
      </c>
      <c r="AP209" s="348" t="b">
        <f t="shared" si="105"/>
        <v>0</v>
      </c>
      <c r="AQ209" s="348">
        <f t="shared" si="106"/>
        <v>0</v>
      </c>
      <c r="AR209" s="348">
        <f t="shared" si="107"/>
        <v>0</v>
      </c>
      <c r="AS209" s="348">
        <f t="shared" si="108"/>
        <v>0</v>
      </c>
      <c r="AT209" s="348" t="str">
        <f t="shared" si="128"/>
        <v/>
      </c>
      <c r="AU209" s="348" t="str">
        <f t="shared" si="129"/>
        <v/>
      </c>
      <c r="AV209" s="348">
        <f t="shared" si="130"/>
        <v>0</v>
      </c>
      <c r="AW209" s="348">
        <f t="shared" si="109"/>
        <v>0</v>
      </c>
      <c r="AX209" s="348">
        <f t="shared" si="110"/>
        <v>0</v>
      </c>
      <c r="AY209" s="330">
        <f t="shared" si="111"/>
        <v>0</v>
      </c>
      <c r="AZ209" s="330">
        <f t="shared" si="112"/>
        <v>0</v>
      </c>
      <c r="BA209" s="330">
        <f t="shared" si="113"/>
        <v>0</v>
      </c>
      <c r="BB209" s="330">
        <f t="shared" si="114"/>
        <v>0</v>
      </c>
      <c r="BC209" s="330">
        <f t="shared" si="115"/>
        <v>0</v>
      </c>
      <c r="BD209" s="330">
        <f t="shared" si="116"/>
        <v>0</v>
      </c>
      <c r="BE209" s="330">
        <f t="shared" si="131"/>
        <v>0</v>
      </c>
      <c r="BF209" s="330">
        <f t="shared" si="117"/>
        <v>0</v>
      </c>
      <c r="BG209" s="330">
        <f t="shared" si="118"/>
        <v>0</v>
      </c>
      <c r="BH209" s="330" t="str">
        <f t="shared" si="119"/>
        <v/>
      </c>
      <c r="BI209" s="330" t="str">
        <f t="shared" si="132"/>
        <v/>
      </c>
      <c r="BJ209" s="330" t="str">
        <f t="shared" si="133"/>
        <v/>
      </c>
      <c r="BK209" s="330" t="str">
        <f t="shared" si="120"/>
        <v/>
      </c>
      <c r="BL209" s="330" t="str">
        <f t="shared" si="121"/>
        <v/>
      </c>
      <c r="BM209" s="330" t="str">
        <f t="shared" si="134"/>
        <v/>
      </c>
      <c r="BN209" s="330" t="str">
        <f t="shared" si="138"/>
        <v/>
      </c>
      <c r="BO209" s="330">
        <f t="shared" si="122"/>
        <v>0</v>
      </c>
      <c r="BP209" s="330">
        <f t="shared" si="123"/>
        <v>0</v>
      </c>
      <c r="BQ209" s="330">
        <f t="shared" si="124"/>
        <v>0</v>
      </c>
      <c r="BR209" s="330" t="str">
        <f t="shared" si="125"/>
        <v/>
      </c>
      <c r="BS209" s="432" t="str">
        <f t="shared" si="135"/>
        <v/>
      </c>
    </row>
    <row r="210" spans="1:71">
      <c r="A210" s="592"/>
      <c r="B210" s="592"/>
      <c r="C210" s="592"/>
      <c r="D210" s="592"/>
      <c r="E210" s="592"/>
      <c r="F210" s="592"/>
      <c r="G210" s="592"/>
      <c r="H210" s="592"/>
      <c r="I210" s="592"/>
      <c r="J210" s="592"/>
      <c r="AI210" s="364">
        <v>165</v>
      </c>
      <c r="AJ210" s="330">
        <f t="shared" si="103"/>
        <v>0</v>
      </c>
      <c r="AK210" s="344" t="str">
        <f t="shared" si="104"/>
        <v>None</v>
      </c>
      <c r="AL210" s="330">
        <f t="shared" si="139"/>
        <v>0</v>
      </c>
      <c r="AM210" s="336">
        <f t="shared" si="136"/>
        <v>0</v>
      </c>
      <c r="AN210" s="330">
        <f t="shared" si="140"/>
        <v>0</v>
      </c>
      <c r="AO210" s="437">
        <f t="shared" si="137"/>
        <v>0</v>
      </c>
      <c r="AP210" s="348" t="b">
        <f t="shared" si="105"/>
        <v>0</v>
      </c>
      <c r="AQ210" s="348">
        <f t="shared" si="106"/>
        <v>0</v>
      </c>
      <c r="AR210" s="348">
        <f t="shared" si="107"/>
        <v>0</v>
      </c>
      <c r="AS210" s="348">
        <f t="shared" si="108"/>
        <v>0</v>
      </c>
      <c r="AT210" s="348" t="str">
        <f t="shared" si="128"/>
        <v/>
      </c>
      <c r="AU210" s="348" t="str">
        <f t="shared" si="129"/>
        <v/>
      </c>
      <c r="AV210" s="348">
        <f t="shared" si="130"/>
        <v>0</v>
      </c>
      <c r="AW210" s="348">
        <f t="shared" si="109"/>
        <v>0</v>
      </c>
      <c r="AX210" s="348">
        <f t="shared" si="110"/>
        <v>0</v>
      </c>
      <c r="AY210" s="330">
        <f t="shared" si="111"/>
        <v>0</v>
      </c>
      <c r="AZ210" s="330">
        <f t="shared" si="112"/>
        <v>0</v>
      </c>
      <c r="BA210" s="330">
        <f t="shared" si="113"/>
        <v>0</v>
      </c>
      <c r="BB210" s="330">
        <f t="shared" si="114"/>
        <v>0</v>
      </c>
      <c r="BC210" s="330">
        <f t="shared" si="115"/>
        <v>0</v>
      </c>
      <c r="BD210" s="330">
        <f t="shared" si="116"/>
        <v>0</v>
      </c>
      <c r="BE210" s="330">
        <f t="shared" si="131"/>
        <v>0</v>
      </c>
      <c r="BF210" s="330">
        <f t="shared" si="117"/>
        <v>0</v>
      </c>
      <c r="BG210" s="330">
        <f t="shared" si="118"/>
        <v>0</v>
      </c>
      <c r="BH210" s="330" t="str">
        <f t="shared" si="119"/>
        <v/>
      </c>
      <c r="BI210" s="330" t="str">
        <f t="shared" si="132"/>
        <v/>
      </c>
      <c r="BJ210" s="330" t="str">
        <f t="shared" si="133"/>
        <v/>
      </c>
      <c r="BK210" s="330" t="str">
        <f t="shared" si="120"/>
        <v/>
      </c>
      <c r="BL210" s="330" t="str">
        <f t="shared" si="121"/>
        <v/>
      </c>
      <c r="BM210" s="330" t="str">
        <f t="shared" si="134"/>
        <v/>
      </c>
      <c r="BN210" s="330" t="str">
        <f t="shared" si="138"/>
        <v/>
      </c>
      <c r="BO210" s="330">
        <f t="shared" si="122"/>
        <v>0</v>
      </c>
      <c r="BP210" s="330">
        <f t="shared" si="123"/>
        <v>0</v>
      </c>
      <c r="BQ210" s="330">
        <f t="shared" si="124"/>
        <v>0</v>
      </c>
      <c r="BR210" s="330" t="str">
        <f t="shared" si="125"/>
        <v/>
      </c>
      <c r="BS210" s="432" t="str">
        <f t="shared" si="135"/>
        <v/>
      </c>
    </row>
    <row r="211" spans="1:71">
      <c r="A211" s="592"/>
      <c r="B211" s="592"/>
      <c r="C211" s="592"/>
      <c r="D211" s="592"/>
      <c r="E211" s="592"/>
      <c r="F211" s="592"/>
      <c r="G211" s="592"/>
      <c r="H211" s="592"/>
      <c r="I211" s="592"/>
      <c r="J211" s="592"/>
      <c r="AI211" s="364">
        <v>166</v>
      </c>
      <c r="AJ211" s="330">
        <f t="shared" si="103"/>
        <v>0</v>
      </c>
      <c r="AK211" s="344" t="str">
        <f t="shared" si="104"/>
        <v>None</v>
      </c>
      <c r="AL211" s="330">
        <f t="shared" si="139"/>
        <v>0</v>
      </c>
      <c r="AM211" s="336">
        <f t="shared" si="136"/>
        <v>0</v>
      </c>
      <c r="AN211" s="330">
        <f t="shared" si="140"/>
        <v>0</v>
      </c>
      <c r="AO211" s="437">
        <f t="shared" si="137"/>
        <v>0</v>
      </c>
      <c r="AP211" s="348" t="b">
        <f t="shared" si="105"/>
        <v>0</v>
      </c>
      <c r="AQ211" s="348">
        <f t="shared" si="106"/>
        <v>0</v>
      </c>
      <c r="AR211" s="348">
        <f t="shared" si="107"/>
        <v>0</v>
      </c>
      <c r="AS211" s="348">
        <f t="shared" si="108"/>
        <v>0</v>
      </c>
      <c r="AT211" s="348" t="str">
        <f t="shared" si="128"/>
        <v/>
      </c>
      <c r="AU211" s="348" t="str">
        <f t="shared" si="129"/>
        <v/>
      </c>
      <c r="AV211" s="348">
        <f t="shared" si="130"/>
        <v>0</v>
      </c>
      <c r="AW211" s="348">
        <f t="shared" si="109"/>
        <v>0</v>
      </c>
      <c r="AX211" s="348">
        <f t="shared" si="110"/>
        <v>0</v>
      </c>
      <c r="AY211" s="330">
        <f t="shared" si="111"/>
        <v>0</v>
      </c>
      <c r="AZ211" s="330">
        <f t="shared" si="112"/>
        <v>0</v>
      </c>
      <c r="BA211" s="330">
        <f t="shared" si="113"/>
        <v>0</v>
      </c>
      <c r="BB211" s="330">
        <f t="shared" si="114"/>
        <v>0</v>
      </c>
      <c r="BC211" s="330">
        <f t="shared" si="115"/>
        <v>0</v>
      </c>
      <c r="BD211" s="330">
        <f t="shared" si="116"/>
        <v>0</v>
      </c>
      <c r="BE211" s="330">
        <f t="shared" si="131"/>
        <v>0</v>
      </c>
      <c r="BF211" s="330">
        <f t="shared" si="117"/>
        <v>0</v>
      </c>
      <c r="BG211" s="330">
        <f t="shared" si="118"/>
        <v>0</v>
      </c>
      <c r="BH211" s="330" t="str">
        <f t="shared" si="119"/>
        <v/>
      </c>
      <c r="BI211" s="330" t="str">
        <f t="shared" si="132"/>
        <v/>
      </c>
      <c r="BJ211" s="330" t="str">
        <f t="shared" si="133"/>
        <v/>
      </c>
      <c r="BK211" s="330" t="str">
        <f t="shared" si="120"/>
        <v/>
      </c>
      <c r="BL211" s="330" t="str">
        <f t="shared" si="121"/>
        <v/>
      </c>
      <c r="BM211" s="330" t="str">
        <f t="shared" si="134"/>
        <v/>
      </c>
      <c r="BN211" s="330" t="str">
        <f t="shared" si="138"/>
        <v/>
      </c>
      <c r="BO211" s="330">
        <f t="shared" si="122"/>
        <v>0</v>
      </c>
      <c r="BP211" s="330">
        <f t="shared" si="123"/>
        <v>0</v>
      </c>
      <c r="BQ211" s="330">
        <f t="shared" si="124"/>
        <v>0</v>
      </c>
      <c r="BR211" s="330" t="str">
        <f t="shared" si="125"/>
        <v/>
      </c>
      <c r="BS211" s="432" t="str">
        <f t="shared" si="135"/>
        <v/>
      </c>
    </row>
    <row r="212" spans="1:71">
      <c r="A212" s="592"/>
      <c r="B212" s="592"/>
      <c r="C212" s="592"/>
      <c r="D212" s="592"/>
      <c r="E212" s="592"/>
      <c r="F212" s="592"/>
      <c r="G212" s="592"/>
      <c r="H212" s="592"/>
      <c r="I212" s="592"/>
      <c r="J212" s="592"/>
      <c r="AI212" s="364">
        <v>167</v>
      </c>
      <c r="AJ212" s="330">
        <f t="shared" si="103"/>
        <v>0</v>
      </c>
      <c r="AK212" s="344" t="str">
        <f t="shared" si="104"/>
        <v>None</v>
      </c>
      <c r="AL212" s="330">
        <f t="shared" si="139"/>
        <v>0</v>
      </c>
      <c r="AM212" s="336">
        <f t="shared" si="136"/>
        <v>0</v>
      </c>
      <c r="AN212" s="330">
        <f t="shared" si="140"/>
        <v>0</v>
      </c>
      <c r="AO212" s="437">
        <f t="shared" si="137"/>
        <v>0</v>
      </c>
      <c r="AP212" s="348" t="b">
        <f t="shared" si="105"/>
        <v>0</v>
      </c>
      <c r="AQ212" s="348">
        <f t="shared" si="106"/>
        <v>0</v>
      </c>
      <c r="AR212" s="348">
        <f t="shared" si="107"/>
        <v>0</v>
      </c>
      <c r="AS212" s="348">
        <f t="shared" si="108"/>
        <v>0</v>
      </c>
      <c r="AT212" s="348" t="str">
        <f t="shared" si="128"/>
        <v/>
      </c>
      <c r="AU212" s="348" t="str">
        <f t="shared" si="129"/>
        <v/>
      </c>
      <c r="AV212" s="348">
        <f t="shared" si="130"/>
        <v>0</v>
      </c>
      <c r="AW212" s="348">
        <f t="shared" si="109"/>
        <v>0</v>
      </c>
      <c r="AX212" s="348">
        <f t="shared" si="110"/>
        <v>0</v>
      </c>
      <c r="AY212" s="330">
        <f t="shared" si="111"/>
        <v>0</v>
      </c>
      <c r="AZ212" s="330">
        <f t="shared" si="112"/>
        <v>0</v>
      </c>
      <c r="BA212" s="330">
        <f t="shared" si="113"/>
        <v>0</v>
      </c>
      <c r="BB212" s="330">
        <f t="shared" si="114"/>
        <v>0</v>
      </c>
      <c r="BC212" s="330">
        <f t="shared" si="115"/>
        <v>0</v>
      </c>
      <c r="BD212" s="330">
        <f t="shared" si="116"/>
        <v>0</v>
      </c>
      <c r="BE212" s="330">
        <f t="shared" si="131"/>
        <v>0</v>
      </c>
      <c r="BF212" s="330">
        <f t="shared" si="117"/>
        <v>0</v>
      </c>
      <c r="BG212" s="330">
        <f t="shared" si="118"/>
        <v>0</v>
      </c>
      <c r="BH212" s="330" t="str">
        <f t="shared" si="119"/>
        <v/>
      </c>
      <c r="BI212" s="330" t="str">
        <f t="shared" si="132"/>
        <v/>
      </c>
      <c r="BJ212" s="330" t="str">
        <f t="shared" si="133"/>
        <v/>
      </c>
      <c r="BK212" s="330" t="str">
        <f t="shared" si="120"/>
        <v/>
      </c>
      <c r="BL212" s="330" t="str">
        <f t="shared" si="121"/>
        <v/>
      </c>
      <c r="BM212" s="330" t="str">
        <f t="shared" si="134"/>
        <v/>
      </c>
      <c r="BN212" s="330" t="str">
        <f t="shared" si="138"/>
        <v/>
      </c>
      <c r="BO212" s="330">
        <f t="shared" si="122"/>
        <v>0</v>
      </c>
      <c r="BP212" s="330">
        <f t="shared" si="123"/>
        <v>0</v>
      </c>
      <c r="BQ212" s="330">
        <f t="shared" si="124"/>
        <v>0</v>
      </c>
      <c r="BR212" s="330" t="str">
        <f t="shared" si="125"/>
        <v/>
      </c>
      <c r="BS212" s="432" t="str">
        <f t="shared" si="135"/>
        <v/>
      </c>
    </row>
    <row r="213" spans="1:71">
      <c r="A213" s="592"/>
      <c r="B213" s="592"/>
      <c r="C213" s="592"/>
      <c r="D213" s="592"/>
      <c r="E213" s="592"/>
      <c r="F213" s="592"/>
      <c r="G213" s="592"/>
      <c r="H213" s="592"/>
      <c r="I213" s="592"/>
      <c r="J213" s="592"/>
      <c r="AI213" s="364">
        <v>168</v>
      </c>
      <c r="AJ213" s="330">
        <f t="shared" si="103"/>
        <v>0</v>
      </c>
      <c r="AK213" s="344" t="str">
        <f t="shared" si="104"/>
        <v>None</v>
      </c>
      <c r="AL213" s="330">
        <f t="shared" si="139"/>
        <v>0</v>
      </c>
      <c r="AM213" s="336">
        <f t="shared" si="136"/>
        <v>0</v>
      </c>
      <c r="AN213" s="330">
        <f t="shared" si="140"/>
        <v>0</v>
      </c>
      <c r="AO213" s="437">
        <f t="shared" si="137"/>
        <v>0</v>
      </c>
      <c r="AP213" s="348" t="b">
        <f t="shared" si="105"/>
        <v>0</v>
      </c>
      <c r="AQ213" s="348">
        <f t="shared" si="106"/>
        <v>0</v>
      </c>
      <c r="AR213" s="348">
        <f t="shared" si="107"/>
        <v>0</v>
      </c>
      <c r="AS213" s="348">
        <f t="shared" si="108"/>
        <v>0</v>
      </c>
      <c r="AT213" s="348" t="str">
        <f t="shared" si="128"/>
        <v/>
      </c>
      <c r="AU213" s="348" t="str">
        <f t="shared" si="129"/>
        <v/>
      </c>
      <c r="AV213" s="348">
        <f t="shared" si="130"/>
        <v>0</v>
      </c>
      <c r="AW213" s="348">
        <f t="shared" si="109"/>
        <v>0</v>
      </c>
      <c r="AX213" s="348">
        <f t="shared" si="110"/>
        <v>0</v>
      </c>
      <c r="AY213" s="330">
        <f t="shared" si="111"/>
        <v>0</v>
      </c>
      <c r="AZ213" s="330">
        <f t="shared" si="112"/>
        <v>0</v>
      </c>
      <c r="BA213" s="330">
        <f t="shared" si="113"/>
        <v>0</v>
      </c>
      <c r="BB213" s="330">
        <f t="shared" si="114"/>
        <v>0</v>
      </c>
      <c r="BC213" s="330">
        <f t="shared" si="115"/>
        <v>0</v>
      </c>
      <c r="BD213" s="330">
        <f t="shared" si="116"/>
        <v>0</v>
      </c>
      <c r="BE213" s="330">
        <f t="shared" si="131"/>
        <v>0</v>
      </c>
      <c r="BF213" s="330">
        <f t="shared" si="117"/>
        <v>0</v>
      </c>
      <c r="BG213" s="330">
        <f t="shared" si="118"/>
        <v>0</v>
      </c>
      <c r="BH213" s="330" t="str">
        <f t="shared" si="119"/>
        <v/>
      </c>
      <c r="BI213" s="330" t="str">
        <f t="shared" si="132"/>
        <v/>
      </c>
      <c r="BJ213" s="330" t="str">
        <f t="shared" si="133"/>
        <v/>
      </c>
      <c r="BK213" s="330" t="str">
        <f t="shared" si="120"/>
        <v/>
      </c>
      <c r="BL213" s="330" t="str">
        <f t="shared" si="121"/>
        <v/>
      </c>
      <c r="BM213" s="330" t="str">
        <f t="shared" si="134"/>
        <v/>
      </c>
      <c r="BN213" s="330" t="str">
        <f t="shared" si="138"/>
        <v/>
      </c>
      <c r="BO213" s="330">
        <f t="shared" si="122"/>
        <v>0</v>
      </c>
      <c r="BP213" s="330">
        <f t="shared" si="123"/>
        <v>0</v>
      </c>
      <c r="BQ213" s="330">
        <f t="shared" si="124"/>
        <v>0</v>
      </c>
      <c r="BR213" s="330" t="str">
        <f t="shared" si="125"/>
        <v/>
      </c>
      <c r="BS213" s="432" t="str">
        <f t="shared" si="135"/>
        <v/>
      </c>
    </row>
    <row r="214" spans="1:71">
      <c r="A214" s="592"/>
      <c r="B214" s="592"/>
      <c r="C214" s="592"/>
      <c r="D214" s="592"/>
      <c r="E214" s="592"/>
      <c r="F214" s="592"/>
      <c r="G214" s="592"/>
      <c r="H214" s="592"/>
      <c r="I214" s="592"/>
      <c r="J214" s="592"/>
      <c r="AI214" s="364">
        <v>169</v>
      </c>
      <c r="AJ214" s="330">
        <f t="shared" si="103"/>
        <v>0</v>
      </c>
      <c r="AK214" s="344" t="str">
        <f t="shared" si="104"/>
        <v>None</v>
      </c>
      <c r="AL214" s="330">
        <f t="shared" si="139"/>
        <v>0</v>
      </c>
      <c r="AM214" s="336">
        <f t="shared" si="136"/>
        <v>0</v>
      </c>
      <c r="AN214" s="330">
        <f t="shared" si="140"/>
        <v>0</v>
      </c>
      <c r="AO214" s="437">
        <f t="shared" si="137"/>
        <v>0</v>
      </c>
      <c r="AP214" s="348" t="b">
        <f t="shared" si="105"/>
        <v>0</v>
      </c>
      <c r="AQ214" s="348">
        <f t="shared" si="106"/>
        <v>0</v>
      </c>
      <c r="AR214" s="348">
        <f t="shared" si="107"/>
        <v>0</v>
      </c>
      <c r="AS214" s="348">
        <f t="shared" si="108"/>
        <v>0</v>
      </c>
      <c r="AT214" s="348" t="str">
        <f t="shared" si="128"/>
        <v/>
      </c>
      <c r="AU214" s="348" t="str">
        <f t="shared" si="129"/>
        <v/>
      </c>
      <c r="AV214" s="348">
        <f t="shared" si="130"/>
        <v>0</v>
      </c>
      <c r="AW214" s="348">
        <f t="shared" si="109"/>
        <v>0</v>
      </c>
      <c r="AX214" s="348">
        <f t="shared" si="110"/>
        <v>0</v>
      </c>
      <c r="AY214" s="330">
        <f t="shared" si="111"/>
        <v>0</v>
      </c>
      <c r="AZ214" s="330">
        <f t="shared" si="112"/>
        <v>0</v>
      </c>
      <c r="BA214" s="330">
        <f t="shared" si="113"/>
        <v>0</v>
      </c>
      <c r="BB214" s="330">
        <f t="shared" si="114"/>
        <v>0</v>
      </c>
      <c r="BC214" s="330">
        <f t="shared" si="115"/>
        <v>0</v>
      </c>
      <c r="BD214" s="330">
        <f t="shared" si="116"/>
        <v>0</v>
      </c>
      <c r="BE214" s="330">
        <f t="shared" si="131"/>
        <v>0</v>
      </c>
      <c r="BF214" s="330">
        <f t="shared" si="117"/>
        <v>0</v>
      </c>
      <c r="BG214" s="330">
        <f t="shared" si="118"/>
        <v>0</v>
      </c>
      <c r="BH214" s="330" t="str">
        <f t="shared" si="119"/>
        <v/>
      </c>
      <c r="BI214" s="330" t="str">
        <f t="shared" si="132"/>
        <v/>
      </c>
      <c r="BJ214" s="330" t="str">
        <f t="shared" si="133"/>
        <v/>
      </c>
      <c r="BK214" s="330" t="str">
        <f t="shared" si="120"/>
        <v/>
      </c>
      <c r="BL214" s="330" t="str">
        <f t="shared" si="121"/>
        <v/>
      </c>
      <c r="BM214" s="330" t="str">
        <f t="shared" si="134"/>
        <v/>
      </c>
      <c r="BN214" s="330" t="str">
        <f t="shared" si="138"/>
        <v/>
      </c>
      <c r="BO214" s="330">
        <f t="shared" si="122"/>
        <v>0</v>
      </c>
      <c r="BP214" s="330">
        <f t="shared" si="123"/>
        <v>0</v>
      </c>
      <c r="BQ214" s="330">
        <f t="shared" si="124"/>
        <v>0</v>
      </c>
      <c r="BR214" s="330" t="str">
        <f t="shared" si="125"/>
        <v/>
      </c>
      <c r="BS214" s="432" t="str">
        <f t="shared" si="135"/>
        <v/>
      </c>
    </row>
    <row r="215" spans="1:71">
      <c r="A215" s="592"/>
      <c r="B215" s="592"/>
      <c r="C215" s="592"/>
      <c r="D215" s="592"/>
      <c r="E215" s="592"/>
      <c r="F215" s="592"/>
      <c r="G215" s="592"/>
      <c r="H215" s="592"/>
      <c r="I215" s="592"/>
      <c r="J215" s="592"/>
      <c r="AI215" s="364">
        <v>170</v>
      </c>
      <c r="AJ215" s="330">
        <f t="shared" si="103"/>
        <v>0</v>
      </c>
      <c r="AK215" s="344" t="str">
        <f t="shared" si="104"/>
        <v>None</v>
      </c>
      <c r="AL215" s="330">
        <f t="shared" si="139"/>
        <v>0</v>
      </c>
      <c r="AM215" s="336">
        <f t="shared" si="136"/>
        <v>0</v>
      </c>
      <c r="AN215" s="330">
        <f t="shared" si="140"/>
        <v>0</v>
      </c>
      <c r="AO215" s="437">
        <f t="shared" si="137"/>
        <v>0</v>
      </c>
      <c r="AP215" s="348" t="b">
        <f t="shared" si="105"/>
        <v>0</v>
      </c>
      <c r="AQ215" s="348">
        <f t="shared" si="106"/>
        <v>0</v>
      </c>
      <c r="AR215" s="348">
        <f t="shared" si="107"/>
        <v>0</v>
      </c>
      <c r="AS215" s="348">
        <f t="shared" si="108"/>
        <v>0</v>
      </c>
      <c r="AT215" s="348" t="str">
        <f t="shared" si="128"/>
        <v/>
      </c>
      <c r="AU215" s="348" t="str">
        <f t="shared" si="129"/>
        <v/>
      </c>
      <c r="AV215" s="348">
        <f t="shared" si="130"/>
        <v>0</v>
      </c>
      <c r="AW215" s="348">
        <f t="shared" si="109"/>
        <v>0</v>
      </c>
      <c r="AX215" s="348">
        <f t="shared" si="110"/>
        <v>0</v>
      </c>
      <c r="AY215" s="330">
        <f t="shared" si="111"/>
        <v>0</v>
      </c>
      <c r="AZ215" s="330">
        <f t="shared" si="112"/>
        <v>0</v>
      </c>
      <c r="BA215" s="330">
        <f t="shared" si="113"/>
        <v>0</v>
      </c>
      <c r="BB215" s="330">
        <f t="shared" si="114"/>
        <v>0</v>
      </c>
      <c r="BC215" s="330">
        <f t="shared" si="115"/>
        <v>0</v>
      </c>
      <c r="BD215" s="330">
        <f t="shared" si="116"/>
        <v>0</v>
      </c>
      <c r="BE215" s="330">
        <f t="shared" si="131"/>
        <v>0</v>
      </c>
      <c r="BF215" s="330">
        <f t="shared" si="117"/>
        <v>0</v>
      </c>
      <c r="BG215" s="330">
        <f t="shared" si="118"/>
        <v>0</v>
      </c>
      <c r="BH215" s="330" t="str">
        <f t="shared" si="119"/>
        <v/>
      </c>
      <c r="BI215" s="330" t="str">
        <f t="shared" si="132"/>
        <v/>
      </c>
      <c r="BJ215" s="330" t="str">
        <f t="shared" si="133"/>
        <v/>
      </c>
      <c r="BK215" s="330" t="str">
        <f t="shared" si="120"/>
        <v/>
      </c>
      <c r="BL215" s="330" t="str">
        <f t="shared" si="121"/>
        <v/>
      </c>
      <c r="BM215" s="330" t="str">
        <f t="shared" si="134"/>
        <v/>
      </c>
      <c r="BN215" s="330" t="str">
        <f t="shared" si="138"/>
        <v/>
      </c>
      <c r="BO215" s="330">
        <f t="shared" si="122"/>
        <v>0</v>
      </c>
      <c r="BP215" s="330">
        <f t="shared" si="123"/>
        <v>0</v>
      </c>
      <c r="BQ215" s="330">
        <f t="shared" si="124"/>
        <v>0</v>
      </c>
      <c r="BR215" s="330" t="str">
        <f t="shared" si="125"/>
        <v/>
      </c>
      <c r="BS215" s="432" t="str">
        <f t="shared" si="135"/>
        <v/>
      </c>
    </row>
    <row r="216" spans="1:71">
      <c r="A216" s="592"/>
      <c r="B216" s="592"/>
      <c r="C216" s="592"/>
      <c r="D216" s="592"/>
      <c r="E216" s="592"/>
      <c r="F216" s="592"/>
      <c r="G216" s="592"/>
      <c r="H216" s="592"/>
      <c r="I216" s="592"/>
      <c r="J216" s="592"/>
      <c r="AI216" s="364">
        <v>171</v>
      </c>
      <c r="AJ216" s="330">
        <f t="shared" si="103"/>
        <v>0</v>
      </c>
      <c r="AK216" s="344" t="str">
        <f t="shared" si="104"/>
        <v>None</v>
      </c>
      <c r="AL216" s="330">
        <f t="shared" si="139"/>
        <v>0</v>
      </c>
      <c r="AM216" s="336">
        <f t="shared" si="136"/>
        <v>0</v>
      </c>
      <c r="AN216" s="330">
        <f t="shared" si="140"/>
        <v>0</v>
      </c>
      <c r="AO216" s="437">
        <f t="shared" si="137"/>
        <v>0</v>
      </c>
      <c r="AP216" s="348" t="b">
        <f t="shared" si="105"/>
        <v>0</v>
      </c>
      <c r="AQ216" s="348">
        <f t="shared" si="106"/>
        <v>0</v>
      </c>
      <c r="AR216" s="348">
        <f t="shared" si="107"/>
        <v>0</v>
      </c>
      <c r="AS216" s="348">
        <f t="shared" si="108"/>
        <v>0</v>
      </c>
      <c r="AT216" s="348" t="str">
        <f t="shared" si="128"/>
        <v/>
      </c>
      <c r="AU216" s="348" t="str">
        <f t="shared" si="129"/>
        <v/>
      </c>
      <c r="AV216" s="348">
        <f t="shared" si="130"/>
        <v>0</v>
      </c>
      <c r="AW216" s="348">
        <f t="shared" si="109"/>
        <v>0</v>
      </c>
      <c r="AX216" s="348">
        <f t="shared" si="110"/>
        <v>0</v>
      </c>
      <c r="AY216" s="330">
        <f t="shared" si="111"/>
        <v>0</v>
      </c>
      <c r="AZ216" s="330">
        <f t="shared" si="112"/>
        <v>0</v>
      </c>
      <c r="BA216" s="330">
        <f t="shared" si="113"/>
        <v>0</v>
      </c>
      <c r="BB216" s="330">
        <f t="shared" si="114"/>
        <v>0</v>
      </c>
      <c r="BC216" s="330">
        <f t="shared" si="115"/>
        <v>0</v>
      </c>
      <c r="BD216" s="330">
        <f t="shared" si="116"/>
        <v>0</v>
      </c>
      <c r="BE216" s="330">
        <f t="shared" si="131"/>
        <v>0</v>
      </c>
      <c r="BF216" s="330">
        <f t="shared" si="117"/>
        <v>0</v>
      </c>
      <c r="BG216" s="330">
        <f t="shared" si="118"/>
        <v>0</v>
      </c>
      <c r="BH216" s="330" t="str">
        <f t="shared" si="119"/>
        <v/>
      </c>
      <c r="BI216" s="330" t="str">
        <f t="shared" si="132"/>
        <v/>
      </c>
      <c r="BJ216" s="330" t="str">
        <f t="shared" si="133"/>
        <v/>
      </c>
      <c r="BK216" s="330" t="str">
        <f t="shared" si="120"/>
        <v/>
      </c>
      <c r="BL216" s="330" t="str">
        <f t="shared" si="121"/>
        <v/>
      </c>
      <c r="BM216" s="330" t="str">
        <f t="shared" si="134"/>
        <v/>
      </c>
      <c r="BN216" s="330" t="str">
        <f t="shared" si="138"/>
        <v/>
      </c>
      <c r="BO216" s="330">
        <f t="shared" si="122"/>
        <v>0</v>
      </c>
      <c r="BP216" s="330">
        <f t="shared" si="123"/>
        <v>0</v>
      </c>
      <c r="BQ216" s="330">
        <f t="shared" si="124"/>
        <v>0</v>
      </c>
      <c r="BR216" s="330" t="str">
        <f t="shared" si="125"/>
        <v/>
      </c>
      <c r="BS216" s="432" t="str">
        <f t="shared" si="135"/>
        <v/>
      </c>
    </row>
    <row r="217" spans="1:71">
      <c r="A217" s="592"/>
      <c r="B217" s="592"/>
      <c r="C217" s="592"/>
      <c r="D217" s="592"/>
      <c r="E217" s="592"/>
      <c r="F217" s="592"/>
      <c r="G217" s="592"/>
      <c r="H217" s="592"/>
      <c r="I217" s="592"/>
      <c r="J217" s="592"/>
      <c r="AI217" s="364">
        <v>172</v>
      </c>
      <c r="AJ217" s="330">
        <f t="shared" si="103"/>
        <v>0</v>
      </c>
      <c r="AK217" s="344" t="str">
        <f t="shared" si="104"/>
        <v>None</v>
      </c>
      <c r="AL217" s="330">
        <f t="shared" si="139"/>
        <v>0</v>
      </c>
      <c r="AM217" s="336">
        <f t="shared" si="136"/>
        <v>0</v>
      </c>
      <c r="AN217" s="330">
        <f t="shared" si="140"/>
        <v>0</v>
      </c>
      <c r="AO217" s="437">
        <f t="shared" si="137"/>
        <v>0</v>
      </c>
      <c r="AP217" s="348" t="b">
        <f t="shared" si="105"/>
        <v>0</v>
      </c>
      <c r="AQ217" s="348">
        <f t="shared" si="106"/>
        <v>0</v>
      </c>
      <c r="AR217" s="348">
        <f t="shared" si="107"/>
        <v>0</v>
      </c>
      <c r="AS217" s="348">
        <f t="shared" si="108"/>
        <v>0</v>
      </c>
      <c r="AT217" s="348" t="str">
        <f t="shared" si="128"/>
        <v/>
      </c>
      <c r="AU217" s="348" t="str">
        <f t="shared" si="129"/>
        <v/>
      </c>
      <c r="AV217" s="348">
        <f t="shared" si="130"/>
        <v>0</v>
      </c>
      <c r="AW217" s="348">
        <f t="shared" si="109"/>
        <v>0</v>
      </c>
      <c r="AX217" s="348">
        <f t="shared" si="110"/>
        <v>0</v>
      </c>
      <c r="AY217" s="330">
        <f t="shared" si="111"/>
        <v>0</v>
      </c>
      <c r="AZ217" s="330">
        <f t="shared" si="112"/>
        <v>0</v>
      </c>
      <c r="BA217" s="330">
        <f t="shared" si="113"/>
        <v>0</v>
      </c>
      <c r="BB217" s="330">
        <f t="shared" si="114"/>
        <v>0</v>
      </c>
      <c r="BC217" s="330">
        <f t="shared" si="115"/>
        <v>0</v>
      </c>
      <c r="BD217" s="330">
        <f t="shared" si="116"/>
        <v>0</v>
      </c>
      <c r="BE217" s="330">
        <f t="shared" si="131"/>
        <v>0</v>
      </c>
      <c r="BF217" s="330">
        <f t="shared" si="117"/>
        <v>0</v>
      </c>
      <c r="BG217" s="330">
        <f t="shared" si="118"/>
        <v>0</v>
      </c>
      <c r="BH217" s="330" t="str">
        <f t="shared" si="119"/>
        <v/>
      </c>
      <c r="BI217" s="330" t="str">
        <f t="shared" si="132"/>
        <v/>
      </c>
      <c r="BJ217" s="330" t="str">
        <f t="shared" si="133"/>
        <v/>
      </c>
      <c r="BK217" s="330" t="str">
        <f t="shared" si="120"/>
        <v/>
      </c>
      <c r="BL217" s="330" t="str">
        <f t="shared" si="121"/>
        <v/>
      </c>
      <c r="BM217" s="330" t="str">
        <f t="shared" si="134"/>
        <v/>
      </c>
      <c r="BN217" s="330" t="str">
        <f t="shared" si="138"/>
        <v/>
      </c>
      <c r="BO217" s="330">
        <f t="shared" si="122"/>
        <v>0</v>
      </c>
      <c r="BP217" s="330">
        <f t="shared" si="123"/>
        <v>0</v>
      </c>
      <c r="BQ217" s="330">
        <f t="shared" si="124"/>
        <v>0</v>
      </c>
      <c r="BR217" s="330" t="str">
        <f t="shared" si="125"/>
        <v/>
      </c>
      <c r="BS217" s="432" t="str">
        <f t="shared" si="135"/>
        <v/>
      </c>
    </row>
    <row r="218" spans="1:71">
      <c r="A218" s="592"/>
      <c r="B218" s="592"/>
      <c r="C218" s="592"/>
      <c r="D218" s="592"/>
      <c r="E218" s="592"/>
      <c r="F218" s="592"/>
      <c r="G218" s="592"/>
      <c r="H218" s="592"/>
      <c r="I218" s="592"/>
      <c r="J218" s="592"/>
      <c r="AI218" s="364">
        <v>173</v>
      </c>
      <c r="AJ218" s="330">
        <f t="shared" si="103"/>
        <v>0</v>
      </c>
      <c r="AK218" s="344" t="str">
        <f t="shared" si="104"/>
        <v>None</v>
      </c>
      <c r="AL218" s="330">
        <f t="shared" si="139"/>
        <v>0</v>
      </c>
      <c r="AM218" s="336">
        <f t="shared" si="136"/>
        <v>0</v>
      </c>
      <c r="AN218" s="330">
        <f t="shared" si="140"/>
        <v>0</v>
      </c>
      <c r="AO218" s="437">
        <f t="shared" si="137"/>
        <v>0</v>
      </c>
      <c r="AP218" s="348" t="b">
        <f t="shared" si="105"/>
        <v>0</v>
      </c>
      <c r="AQ218" s="348">
        <f t="shared" si="106"/>
        <v>0</v>
      </c>
      <c r="AR218" s="348">
        <f t="shared" si="107"/>
        <v>0</v>
      </c>
      <c r="AS218" s="348">
        <f t="shared" si="108"/>
        <v>0</v>
      </c>
      <c r="AT218" s="348" t="str">
        <f t="shared" si="128"/>
        <v/>
      </c>
      <c r="AU218" s="348" t="str">
        <f t="shared" si="129"/>
        <v/>
      </c>
      <c r="AV218" s="348">
        <f t="shared" si="130"/>
        <v>0</v>
      </c>
      <c r="AW218" s="348">
        <f t="shared" si="109"/>
        <v>0</v>
      </c>
      <c r="AX218" s="348">
        <f t="shared" si="110"/>
        <v>0</v>
      </c>
      <c r="AY218" s="330">
        <f t="shared" si="111"/>
        <v>0</v>
      </c>
      <c r="AZ218" s="330">
        <f t="shared" si="112"/>
        <v>0</v>
      </c>
      <c r="BA218" s="330">
        <f t="shared" si="113"/>
        <v>0</v>
      </c>
      <c r="BB218" s="330">
        <f t="shared" si="114"/>
        <v>0</v>
      </c>
      <c r="BC218" s="330">
        <f t="shared" si="115"/>
        <v>0</v>
      </c>
      <c r="BD218" s="330">
        <f t="shared" si="116"/>
        <v>0</v>
      </c>
      <c r="BE218" s="330">
        <f t="shared" si="131"/>
        <v>0</v>
      </c>
      <c r="BF218" s="330">
        <f t="shared" si="117"/>
        <v>0</v>
      </c>
      <c r="BG218" s="330">
        <f t="shared" si="118"/>
        <v>0</v>
      </c>
      <c r="BH218" s="330" t="str">
        <f t="shared" si="119"/>
        <v/>
      </c>
      <c r="BI218" s="330" t="str">
        <f t="shared" si="132"/>
        <v/>
      </c>
      <c r="BJ218" s="330" t="str">
        <f t="shared" si="133"/>
        <v/>
      </c>
      <c r="BK218" s="330" t="str">
        <f t="shared" si="120"/>
        <v/>
      </c>
      <c r="BL218" s="330" t="str">
        <f t="shared" si="121"/>
        <v/>
      </c>
      <c r="BM218" s="330" t="str">
        <f t="shared" si="134"/>
        <v/>
      </c>
      <c r="BN218" s="330" t="str">
        <f t="shared" si="138"/>
        <v/>
      </c>
      <c r="BO218" s="330">
        <f t="shared" si="122"/>
        <v>0</v>
      </c>
      <c r="BP218" s="330">
        <f t="shared" si="123"/>
        <v>0</v>
      </c>
      <c r="BQ218" s="330">
        <f t="shared" si="124"/>
        <v>0</v>
      </c>
      <c r="BR218" s="330" t="str">
        <f t="shared" si="125"/>
        <v/>
      </c>
      <c r="BS218" s="432" t="str">
        <f t="shared" si="135"/>
        <v/>
      </c>
    </row>
    <row r="219" spans="1:71">
      <c r="A219" s="592"/>
      <c r="B219" s="592"/>
      <c r="C219" s="592"/>
      <c r="D219" s="592"/>
      <c r="E219" s="592"/>
      <c r="F219" s="592"/>
      <c r="G219" s="592"/>
      <c r="H219" s="592"/>
      <c r="I219" s="592"/>
      <c r="J219" s="592"/>
      <c r="AI219" s="364">
        <v>174</v>
      </c>
      <c r="AJ219" s="330">
        <f t="shared" si="103"/>
        <v>0</v>
      </c>
      <c r="AK219" s="344" t="str">
        <f t="shared" si="104"/>
        <v>None</v>
      </c>
      <c r="AL219" s="330">
        <f t="shared" si="139"/>
        <v>0</v>
      </c>
      <c r="AM219" s="336">
        <f t="shared" si="136"/>
        <v>0</v>
      </c>
      <c r="AN219" s="330">
        <f t="shared" si="140"/>
        <v>0</v>
      </c>
      <c r="AO219" s="437">
        <f t="shared" si="137"/>
        <v>0</v>
      </c>
      <c r="AP219" s="348" t="b">
        <f t="shared" si="105"/>
        <v>0</v>
      </c>
      <c r="AQ219" s="348">
        <f t="shared" si="106"/>
        <v>0</v>
      </c>
      <c r="AR219" s="348">
        <f t="shared" si="107"/>
        <v>0</v>
      </c>
      <c r="AS219" s="348">
        <f t="shared" si="108"/>
        <v>0</v>
      </c>
      <c r="AT219" s="348" t="str">
        <f t="shared" si="128"/>
        <v/>
      </c>
      <c r="AU219" s="348" t="str">
        <f t="shared" si="129"/>
        <v/>
      </c>
      <c r="AV219" s="348">
        <f t="shared" si="130"/>
        <v>0</v>
      </c>
      <c r="AW219" s="348">
        <f t="shared" si="109"/>
        <v>0</v>
      </c>
      <c r="AX219" s="348">
        <f t="shared" si="110"/>
        <v>0</v>
      </c>
      <c r="AY219" s="330">
        <f t="shared" si="111"/>
        <v>0</v>
      </c>
      <c r="AZ219" s="330">
        <f t="shared" si="112"/>
        <v>0</v>
      </c>
      <c r="BA219" s="330">
        <f t="shared" si="113"/>
        <v>0</v>
      </c>
      <c r="BB219" s="330">
        <f t="shared" si="114"/>
        <v>0</v>
      </c>
      <c r="BC219" s="330">
        <f t="shared" si="115"/>
        <v>0</v>
      </c>
      <c r="BD219" s="330">
        <f t="shared" si="116"/>
        <v>0</v>
      </c>
      <c r="BE219" s="330">
        <f t="shared" si="131"/>
        <v>0</v>
      </c>
      <c r="BF219" s="330">
        <f t="shared" si="117"/>
        <v>0</v>
      </c>
      <c r="BG219" s="330">
        <f t="shared" si="118"/>
        <v>0</v>
      </c>
      <c r="BH219" s="330" t="str">
        <f t="shared" si="119"/>
        <v/>
      </c>
      <c r="BI219" s="330" t="str">
        <f t="shared" si="132"/>
        <v/>
      </c>
      <c r="BJ219" s="330" t="str">
        <f t="shared" si="133"/>
        <v/>
      </c>
      <c r="BK219" s="330" t="str">
        <f t="shared" si="120"/>
        <v/>
      </c>
      <c r="BL219" s="330" t="str">
        <f t="shared" si="121"/>
        <v/>
      </c>
      <c r="BM219" s="330" t="str">
        <f t="shared" si="134"/>
        <v/>
      </c>
      <c r="BN219" s="330" t="str">
        <f t="shared" si="138"/>
        <v/>
      </c>
      <c r="BO219" s="330">
        <f t="shared" si="122"/>
        <v>0</v>
      </c>
      <c r="BP219" s="330">
        <f t="shared" si="123"/>
        <v>0</v>
      </c>
      <c r="BQ219" s="330">
        <f t="shared" si="124"/>
        <v>0</v>
      </c>
      <c r="BR219" s="330" t="str">
        <f t="shared" si="125"/>
        <v/>
      </c>
      <c r="BS219" s="432" t="str">
        <f t="shared" si="135"/>
        <v/>
      </c>
    </row>
    <row r="220" spans="1:71">
      <c r="A220" s="592"/>
      <c r="B220" s="592"/>
      <c r="C220" s="592"/>
      <c r="D220" s="592"/>
      <c r="E220" s="592"/>
      <c r="F220" s="592"/>
      <c r="G220" s="592"/>
      <c r="H220" s="592"/>
      <c r="I220" s="592"/>
      <c r="J220" s="592"/>
      <c r="AI220" s="364">
        <v>175</v>
      </c>
      <c r="AJ220" s="330">
        <f t="shared" si="103"/>
        <v>0</v>
      </c>
      <c r="AK220" s="344" t="str">
        <f t="shared" si="104"/>
        <v>None</v>
      </c>
      <c r="AL220" s="330">
        <f t="shared" si="139"/>
        <v>0</v>
      </c>
      <c r="AM220" s="336">
        <f t="shared" si="136"/>
        <v>0</v>
      </c>
      <c r="AN220" s="330">
        <f t="shared" si="140"/>
        <v>0</v>
      </c>
      <c r="AO220" s="437">
        <f t="shared" si="137"/>
        <v>0</v>
      </c>
      <c r="AP220" s="348" t="b">
        <f t="shared" si="105"/>
        <v>0</v>
      </c>
      <c r="AQ220" s="348">
        <f t="shared" si="106"/>
        <v>0</v>
      </c>
      <c r="AR220" s="348">
        <f t="shared" si="107"/>
        <v>0</v>
      </c>
      <c r="AS220" s="348">
        <f t="shared" si="108"/>
        <v>0</v>
      </c>
      <c r="AT220" s="348" t="str">
        <f t="shared" si="128"/>
        <v/>
      </c>
      <c r="AU220" s="348" t="str">
        <f t="shared" si="129"/>
        <v/>
      </c>
      <c r="AV220" s="348">
        <f t="shared" si="130"/>
        <v>0</v>
      </c>
      <c r="AW220" s="348">
        <f t="shared" si="109"/>
        <v>0</v>
      </c>
      <c r="AX220" s="348">
        <f t="shared" si="110"/>
        <v>0</v>
      </c>
      <c r="AY220" s="330">
        <f t="shared" si="111"/>
        <v>0</v>
      </c>
      <c r="AZ220" s="330">
        <f t="shared" si="112"/>
        <v>0</v>
      </c>
      <c r="BA220" s="330">
        <f t="shared" si="113"/>
        <v>0</v>
      </c>
      <c r="BB220" s="330">
        <f t="shared" si="114"/>
        <v>0</v>
      </c>
      <c r="BC220" s="330">
        <f t="shared" si="115"/>
        <v>0</v>
      </c>
      <c r="BD220" s="330">
        <f t="shared" si="116"/>
        <v>0</v>
      </c>
      <c r="BE220" s="330">
        <f t="shared" si="131"/>
        <v>0</v>
      </c>
      <c r="BF220" s="330">
        <f t="shared" si="117"/>
        <v>0</v>
      </c>
      <c r="BG220" s="330">
        <f t="shared" si="118"/>
        <v>0</v>
      </c>
      <c r="BH220" s="330" t="str">
        <f t="shared" si="119"/>
        <v/>
      </c>
      <c r="BI220" s="330" t="str">
        <f t="shared" si="132"/>
        <v/>
      </c>
      <c r="BJ220" s="330" t="str">
        <f t="shared" si="133"/>
        <v/>
      </c>
      <c r="BK220" s="330" t="str">
        <f t="shared" si="120"/>
        <v/>
      </c>
      <c r="BL220" s="330" t="str">
        <f t="shared" si="121"/>
        <v/>
      </c>
      <c r="BM220" s="330" t="str">
        <f t="shared" si="134"/>
        <v/>
      </c>
      <c r="BN220" s="330" t="str">
        <f t="shared" si="138"/>
        <v/>
      </c>
      <c r="BO220" s="330">
        <f t="shared" si="122"/>
        <v>0</v>
      </c>
      <c r="BP220" s="330">
        <f t="shared" si="123"/>
        <v>0</v>
      </c>
      <c r="BQ220" s="330">
        <f t="shared" si="124"/>
        <v>0</v>
      </c>
      <c r="BR220" s="330" t="str">
        <f t="shared" si="125"/>
        <v/>
      </c>
      <c r="BS220" s="432" t="str">
        <f t="shared" si="135"/>
        <v/>
      </c>
    </row>
    <row r="221" spans="1:71">
      <c r="A221" s="592"/>
      <c r="B221" s="592"/>
      <c r="C221" s="592"/>
      <c r="D221" s="592"/>
      <c r="E221" s="592"/>
      <c r="F221" s="592"/>
      <c r="G221" s="592"/>
      <c r="H221" s="592"/>
      <c r="I221" s="592"/>
      <c r="J221" s="592"/>
      <c r="AI221" s="364">
        <v>176</v>
      </c>
      <c r="AJ221" s="330">
        <f t="shared" si="103"/>
        <v>0</v>
      </c>
      <c r="AK221" s="344" t="str">
        <f t="shared" si="104"/>
        <v>None</v>
      </c>
      <c r="AL221" s="330">
        <f t="shared" si="139"/>
        <v>0</v>
      </c>
      <c r="AM221" s="336">
        <f t="shared" si="136"/>
        <v>0</v>
      </c>
      <c r="AN221" s="330">
        <f t="shared" si="140"/>
        <v>0</v>
      </c>
      <c r="AO221" s="437">
        <f t="shared" si="137"/>
        <v>0</v>
      </c>
      <c r="AP221" s="348" t="b">
        <f t="shared" si="105"/>
        <v>0</v>
      </c>
      <c r="AQ221" s="348">
        <f t="shared" si="106"/>
        <v>0</v>
      </c>
      <c r="AR221" s="348">
        <f t="shared" si="107"/>
        <v>0</v>
      </c>
      <c r="AS221" s="348">
        <f t="shared" si="108"/>
        <v>0</v>
      </c>
      <c r="AT221" s="348" t="str">
        <f t="shared" si="128"/>
        <v/>
      </c>
      <c r="AU221" s="348" t="str">
        <f t="shared" si="129"/>
        <v/>
      </c>
      <c r="AV221" s="348">
        <f t="shared" si="130"/>
        <v>0</v>
      </c>
      <c r="AW221" s="348">
        <f t="shared" si="109"/>
        <v>0</v>
      </c>
      <c r="AX221" s="348">
        <f t="shared" si="110"/>
        <v>0</v>
      </c>
      <c r="AY221" s="330">
        <f t="shared" si="111"/>
        <v>0</v>
      </c>
      <c r="AZ221" s="330">
        <f t="shared" si="112"/>
        <v>0</v>
      </c>
      <c r="BA221" s="330">
        <f t="shared" si="113"/>
        <v>0</v>
      </c>
      <c r="BB221" s="330">
        <f t="shared" si="114"/>
        <v>0</v>
      </c>
      <c r="BC221" s="330">
        <f t="shared" si="115"/>
        <v>0</v>
      </c>
      <c r="BD221" s="330">
        <f t="shared" si="116"/>
        <v>0</v>
      </c>
      <c r="BE221" s="330">
        <f t="shared" si="131"/>
        <v>0</v>
      </c>
      <c r="BF221" s="330">
        <f t="shared" si="117"/>
        <v>0</v>
      </c>
      <c r="BG221" s="330">
        <f t="shared" si="118"/>
        <v>0</v>
      </c>
      <c r="BH221" s="330" t="str">
        <f t="shared" si="119"/>
        <v/>
      </c>
      <c r="BI221" s="330" t="str">
        <f t="shared" si="132"/>
        <v/>
      </c>
      <c r="BJ221" s="330" t="str">
        <f t="shared" si="133"/>
        <v/>
      </c>
      <c r="BK221" s="330" t="str">
        <f t="shared" si="120"/>
        <v/>
      </c>
      <c r="BL221" s="330" t="str">
        <f t="shared" si="121"/>
        <v/>
      </c>
      <c r="BM221" s="330" t="str">
        <f t="shared" si="134"/>
        <v/>
      </c>
      <c r="BN221" s="330" t="str">
        <f t="shared" si="138"/>
        <v/>
      </c>
      <c r="BO221" s="330">
        <f t="shared" si="122"/>
        <v>0</v>
      </c>
      <c r="BP221" s="330">
        <f t="shared" si="123"/>
        <v>0</v>
      </c>
      <c r="BQ221" s="330">
        <f t="shared" si="124"/>
        <v>0</v>
      </c>
      <c r="BR221" s="330" t="str">
        <f t="shared" si="125"/>
        <v/>
      </c>
      <c r="BS221" s="432" t="str">
        <f t="shared" si="135"/>
        <v/>
      </c>
    </row>
    <row r="222" spans="1:71">
      <c r="A222" s="592"/>
      <c r="B222" s="592"/>
      <c r="C222" s="592"/>
      <c r="D222" s="592"/>
      <c r="E222" s="592"/>
      <c r="F222" s="592"/>
      <c r="G222" s="592"/>
      <c r="H222" s="592"/>
      <c r="I222" s="592"/>
      <c r="J222" s="592"/>
      <c r="AI222" s="364">
        <v>177</v>
      </c>
      <c r="AJ222" s="330">
        <f t="shared" si="103"/>
        <v>0</v>
      </c>
      <c r="AK222" s="344" t="str">
        <f t="shared" si="104"/>
        <v>None</v>
      </c>
      <c r="AL222" s="330">
        <f t="shared" si="139"/>
        <v>0</v>
      </c>
      <c r="AM222" s="336">
        <f t="shared" si="136"/>
        <v>0</v>
      </c>
      <c r="AN222" s="330">
        <f t="shared" si="140"/>
        <v>0</v>
      </c>
      <c r="AO222" s="437">
        <f t="shared" si="137"/>
        <v>0</v>
      </c>
      <c r="AP222" s="348" t="b">
        <f t="shared" si="105"/>
        <v>0</v>
      </c>
      <c r="AQ222" s="348">
        <f t="shared" si="106"/>
        <v>0</v>
      </c>
      <c r="AR222" s="348">
        <f t="shared" si="107"/>
        <v>0</v>
      </c>
      <c r="AS222" s="348">
        <f t="shared" si="108"/>
        <v>0</v>
      </c>
      <c r="AT222" s="348" t="str">
        <f t="shared" si="128"/>
        <v/>
      </c>
      <c r="AU222" s="348" t="str">
        <f t="shared" si="129"/>
        <v/>
      </c>
      <c r="AV222" s="348">
        <f t="shared" si="130"/>
        <v>0</v>
      </c>
      <c r="AW222" s="348">
        <f t="shared" si="109"/>
        <v>0</v>
      </c>
      <c r="AX222" s="348">
        <f t="shared" si="110"/>
        <v>0</v>
      </c>
      <c r="AY222" s="330">
        <f t="shared" si="111"/>
        <v>0</v>
      </c>
      <c r="AZ222" s="330">
        <f t="shared" si="112"/>
        <v>0</v>
      </c>
      <c r="BA222" s="330">
        <f t="shared" si="113"/>
        <v>0</v>
      </c>
      <c r="BB222" s="330">
        <f t="shared" si="114"/>
        <v>0</v>
      </c>
      <c r="BC222" s="330">
        <f t="shared" si="115"/>
        <v>0</v>
      </c>
      <c r="BD222" s="330">
        <f t="shared" si="116"/>
        <v>0</v>
      </c>
      <c r="BE222" s="330">
        <f t="shared" si="131"/>
        <v>0</v>
      </c>
      <c r="BF222" s="330">
        <f t="shared" si="117"/>
        <v>0</v>
      </c>
      <c r="BG222" s="330">
        <f t="shared" si="118"/>
        <v>0</v>
      </c>
      <c r="BH222" s="330" t="str">
        <f t="shared" si="119"/>
        <v/>
      </c>
      <c r="BI222" s="330" t="str">
        <f t="shared" si="132"/>
        <v/>
      </c>
      <c r="BJ222" s="330" t="str">
        <f t="shared" si="133"/>
        <v/>
      </c>
      <c r="BK222" s="330" t="str">
        <f t="shared" si="120"/>
        <v/>
      </c>
      <c r="BL222" s="330" t="str">
        <f t="shared" si="121"/>
        <v/>
      </c>
      <c r="BM222" s="330" t="str">
        <f t="shared" si="134"/>
        <v/>
      </c>
      <c r="BN222" s="330" t="str">
        <f t="shared" si="138"/>
        <v/>
      </c>
      <c r="BO222" s="330">
        <f t="shared" si="122"/>
        <v>0</v>
      </c>
      <c r="BP222" s="330">
        <f t="shared" si="123"/>
        <v>0</v>
      </c>
      <c r="BQ222" s="330">
        <f t="shared" si="124"/>
        <v>0</v>
      </c>
      <c r="BR222" s="330" t="str">
        <f t="shared" si="125"/>
        <v/>
      </c>
      <c r="BS222" s="432" t="str">
        <f t="shared" si="135"/>
        <v/>
      </c>
    </row>
    <row r="223" spans="1:71">
      <c r="A223" s="592"/>
      <c r="B223" s="592"/>
      <c r="C223" s="592"/>
      <c r="D223" s="592"/>
      <c r="E223" s="592"/>
      <c r="F223" s="592"/>
      <c r="G223" s="592"/>
      <c r="H223" s="592"/>
      <c r="I223" s="592"/>
      <c r="J223" s="592"/>
      <c r="AI223" s="364">
        <v>178</v>
      </c>
      <c r="AJ223" s="330">
        <f t="shared" si="103"/>
        <v>0</v>
      </c>
      <c r="AK223" s="344" t="str">
        <f t="shared" si="104"/>
        <v>None</v>
      </c>
      <c r="AL223" s="330">
        <f t="shared" si="139"/>
        <v>0</v>
      </c>
      <c r="AM223" s="336">
        <f t="shared" si="136"/>
        <v>0</v>
      </c>
      <c r="AN223" s="330">
        <f t="shared" si="140"/>
        <v>0</v>
      </c>
      <c r="AO223" s="437">
        <f t="shared" si="137"/>
        <v>0</v>
      </c>
      <c r="AP223" s="348" t="b">
        <f t="shared" si="105"/>
        <v>0</v>
      </c>
      <c r="AQ223" s="348">
        <f t="shared" si="106"/>
        <v>0</v>
      </c>
      <c r="AR223" s="348">
        <f t="shared" si="107"/>
        <v>0</v>
      </c>
      <c r="AS223" s="348">
        <f t="shared" si="108"/>
        <v>0</v>
      </c>
      <c r="AT223" s="348" t="str">
        <f t="shared" si="128"/>
        <v/>
      </c>
      <c r="AU223" s="348" t="str">
        <f t="shared" si="129"/>
        <v/>
      </c>
      <c r="AV223" s="348">
        <f t="shared" si="130"/>
        <v>0</v>
      </c>
      <c r="AW223" s="348">
        <f t="shared" si="109"/>
        <v>0</v>
      </c>
      <c r="AX223" s="348">
        <f t="shared" si="110"/>
        <v>0</v>
      </c>
      <c r="AY223" s="330">
        <f t="shared" si="111"/>
        <v>0</v>
      </c>
      <c r="AZ223" s="330">
        <f t="shared" si="112"/>
        <v>0</v>
      </c>
      <c r="BA223" s="330">
        <f t="shared" si="113"/>
        <v>0</v>
      </c>
      <c r="BB223" s="330">
        <f t="shared" si="114"/>
        <v>0</v>
      </c>
      <c r="BC223" s="330">
        <f t="shared" si="115"/>
        <v>0</v>
      </c>
      <c r="BD223" s="330">
        <f t="shared" si="116"/>
        <v>0</v>
      </c>
      <c r="BE223" s="330">
        <f t="shared" si="131"/>
        <v>0</v>
      </c>
      <c r="BF223" s="330">
        <f t="shared" si="117"/>
        <v>0</v>
      </c>
      <c r="BG223" s="330">
        <f t="shared" si="118"/>
        <v>0</v>
      </c>
      <c r="BH223" s="330" t="str">
        <f t="shared" si="119"/>
        <v/>
      </c>
      <c r="BI223" s="330" t="str">
        <f t="shared" si="132"/>
        <v/>
      </c>
      <c r="BJ223" s="330" t="str">
        <f t="shared" si="133"/>
        <v/>
      </c>
      <c r="BK223" s="330" t="str">
        <f t="shared" si="120"/>
        <v/>
      </c>
      <c r="BL223" s="330" t="str">
        <f t="shared" si="121"/>
        <v/>
      </c>
      <c r="BM223" s="330" t="str">
        <f t="shared" si="134"/>
        <v/>
      </c>
      <c r="BN223" s="330" t="str">
        <f t="shared" si="138"/>
        <v/>
      </c>
      <c r="BO223" s="330">
        <f t="shared" si="122"/>
        <v>0</v>
      </c>
      <c r="BP223" s="330">
        <f t="shared" si="123"/>
        <v>0</v>
      </c>
      <c r="BQ223" s="330">
        <f t="shared" si="124"/>
        <v>0</v>
      </c>
      <c r="BR223" s="330" t="str">
        <f t="shared" si="125"/>
        <v/>
      </c>
      <c r="BS223" s="432" t="str">
        <f t="shared" si="135"/>
        <v/>
      </c>
    </row>
    <row r="224" spans="1:71">
      <c r="A224" s="592"/>
      <c r="B224" s="592"/>
      <c r="C224" s="592"/>
      <c r="D224" s="592"/>
      <c r="E224" s="592"/>
      <c r="F224" s="592"/>
      <c r="G224" s="592"/>
      <c r="H224" s="592"/>
      <c r="I224" s="592"/>
      <c r="J224" s="592"/>
      <c r="AI224" s="364">
        <v>179</v>
      </c>
      <c r="AJ224" s="330">
        <f t="shared" si="103"/>
        <v>0</v>
      </c>
      <c r="AK224" s="344" t="str">
        <f t="shared" si="104"/>
        <v>None</v>
      </c>
      <c r="AL224" s="330">
        <f t="shared" si="139"/>
        <v>0</v>
      </c>
      <c r="AM224" s="336">
        <f t="shared" si="136"/>
        <v>0</v>
      </c>
      <c r="AN224" s="330">
        <f t="shared" si="140"/>
        <v>0</v>
      </c>
      <c r="AO224" s="437">
        <f t="shared" si="137"/>
        <v>0</v>
      </c>
      <c r="AP224" s="348" t="b">
        <f t="shared" si="105"/>
        <v>0</v>
      </c>
      <c r="AQ224" s="348">
        <f t="shared" si="106"/>
        <v>0</v>
      </c>
      <c r="AR224" s="348">
        <f t="shared" si="107"/>
        <v>0</v>
      </c>
      <c r="AS224" s="348">
        <f t="shared" si="108"/>
        <v>0</v>
      </c>
      <c r="AT224" s="348" t="str">
        <f t="shared" si="128"/>
        <v/>
      </c>
      <c r="AU224" s="348" t="str">
        <f t="shared" si="129"/>
        <v/>
      </c>
      <c r="AV224" s="348">
        <f t="shared" si="130"/>
        <v>0</v>
      </c>
      <c r="AW224" s="348">
        <f t="shared" si="109"/>
        <v>0</v>
      </c>
      <c r="AX224" s="348">
        <f t="shared" si="110"/>
        <v>0</v>
      </c>
      <c r="AY224" s="330">
        <f t="shared" si="111"/>
        <v>0</v>
      </c>
      <c r="AZ224" s="330">
        <f t="shared" si="112"/>
        <v>0</v>
      </c>
      <c r="BA224" s="330">
        <f t="shared" si="113"/>
        <v>0</v>
      </c>
      <c r="BB224" s="330">
        <f t="shared" si="114"/>
        <v>0</v>
      </c>
      <c r="BC224" s="330">
        <f t="shared" si="115"/>
        <v>0</v>
      </c>
      <c r="BD224" s="330">
        <f t="shared" si="116"/>
        <v>0</v>
      </c>
      <c r="BE224" s="330">
        <f t="shared" si="131"/>
        <v>0</v>
      </c>
      <c r="BF224" s="330">
        <f t="shared" si="117"/>
        <v>0</v>
      </c>
      <c r="BG224" s="330">
        <f t="shared" si="118"/>
        <v>0</v>
      </c>
      <c r="BH224" s="330" t="str">
        <f t="shared" si="119"/>
        <v/>
      </c>
      <c r="BI224" s="330" t="str">
        <f t="shared" si="132"/>
        <v/>
      </c>
      <c r="BJ224" s="330" t="str">
        <f t="shared" si="133"/>
        <v/>
      </c>
      <c r="BK224" s="330" t="str">
        <f t="shared" si="120"/>
        <v/>
      </c>
      <c r="BL224" s="330" t="str">
        <f t="shared" si="121"/>
        <v/>
      </c>
      <c r="BM224" s="330" t="str">
        <f t="shared" si="134"/>
        <v/>
      </c>
      <c r="BN224" s="330" t="str">
        <f t="shared" si="138"/>
        <v/>
      </c>
      <c r="BO224" s="330">
        <f t="shared" si="122"/>
        <v>0</v>
      </c>
      <c r="BP224" s="330">
        <f t="shared" si="123"/>
        <v>0</v>
      </c>
      <c r="BQ224" s="330">
        <f t="shared" si="124"/>
        <v>0</v>
      </c>
      <c r="BR224" s="330" t="str">
        <f t="shared" si="125"/>
        <v/>
      </c>
      <c r="BS224" s="432" t="str">
        <f t="shared" si="135"/>
        <v/>
      </c>
    </row>
    <row r="225" spans="1:71">
      <c r="A225" s="592"/>
      <c r="B225" s="592"/>
      <c r="C225" s="592"/>
      <c r="D225" s="592"/>
      <c r="E225" s="592"/>
      <c r="F225" s="592"/>
      <c r="G225" s="592"/>
      <c r="H225" s="592"/>
      <c r="I225" s="592"/>
      <c r="J225" s="592"/>
      <c r="AI225" s="364">
        <v>180</v>
      </c>
      <c r="AJ225" s="330">
        <f t="shared" si="103"/>
        <v>0</v>
      </c>
      <c r="AK225" s="344" t="str">
        <f t="shared" si="104"/>
        <v>None</v>
      </c>
      <c r="AL225" s="330">
        <f t="shared" si="139"/>
        <v>0</v>
      </c>
      <c r="AM225" s="336">
        <f t="shared" si="136"/>
        <v>0</v>
      </c>
      <c r="AN225" s="330">
        <f t="shared" si="140"/>
        <v>0</v>
      </c>
      <c r="AO225" s="437">
        <f t="shared" si="137"/>
        <v>0</v>
      </c>
      <c r="AP225" s="348" t="b">
        <f t="shared" si="105"/>
        <v>0</v>
      </c>
      <c r="AQ225" s="348">
        <f t="shared" si="106"/>
        <v>0</v>
      </c>
      <c r="AR225" s="348">
        <f t="shared" si="107"/>
        <v>0</v>
      </c>
      <c r="AS225" s="348">
        <f t="shared" si="108"/>
        <v>0</v>
      </c>
      <c r="AT225" s="348" t="str">
        <f t="shared" si="128"/>
        <v/>
      </c>
      <c r="AU225" s="348" t="str">
        <f t="shared" si="129"/>
        <v/>
      </c>
      <c r="AV225" s="348">
        <f t="shared" si="130"/>
        <v>0</v>
      </c>
      <c r="AW225" s="348">
        <f t="shared" si="109"/>
        <v>0</v>
      </c>
      <c r="AX225" s="348">
        <f t="shared" si="110"/>
        <v>0</v>
      </c>
      <c r="AY225" s="330">
        <f t="shared" si="111"/>
        <v>0</v>
      </c>
      <c r="AZ225" s="330">
        <f t="shared" si="112"/>
        <v>0</v>
      </c>
      <c r="BA225" s="330">
        <f t="shared" si="113"/>
        <v>0</v>
      </c>
      <c r="BB225" s="330">
        <f t="shared" si="114"/>
        <v>0</v>
      </c>
      <c r="BC225" s="330">
        <f t="shared" si="115"/>
        <v>0</v>
      </c>
      <c r="BD225" s="330">
        <f t="shared" si="116"/>
        <v>0</v>
      </c>
      <c r="BE225" s="330">
        <f t="shared" si="131"/>
        <v>0</v>
      </c>
      <c r="BF225" s="330">
        <f t="shared" si="117"/>
        <v>0</v>
      </c>
      <c r="BG225" s="330">
        <f t="shared" si="118"/>
        <v>0</v>
      </c>
      <c r="BH225" s="330" t="str">
        <f t="shared" si="119"/>
        <v/>
      </c>
      <c r="BI225" s="330" t="str">
        <f t="shared" si="132"/>
        <v/>
      </c>
      <c r="BJ225" s="330" t="str">
        <f t="shared" si="133"/>
        <v/>
      </c>
      <c r="BK225" s="330" t="str">
        <f t="shared" si="120"/>
        <v/>
      </c>
      <c r="BL225" s="330" t="str">
        <f t="shared" si="121"/>
        <v/>
      </c>
      <c r="BM225" s="330" t="str">
        <f t="shared" si="134"/>
        <v/>
      </c>
      <c r="BN225" s="330" t="str">
        <f t="shared" si="138"/>
        <v/>
      </c>
      <c r="BO225" s="330">
        <f t="shared" si="122"/>
        <v>0</v>
      </c>
      <c r="BP225" s="330">
        <f t="shared" si="123"/>
        <v>0</v>
      </c>
      <c r="BQ225" s="330">
        <f t="shared" si="124"/>
        <v>0</v>
      </c>
      <c r="BR225" s="330" t="str">
        <f t="shared" si="125"/>
        <v/>
      </c>
      <c r="BS225" s="432" t="str">
        <f t="shared" si="135"/>
        <v/>
      </c>
    </row>
    <row r="226" spans="1:71">
      <c r="A226" s="592"/>
      <c r="B226" s="592"/>
      <c r="C226" s="592"/>
      <c r="D226" s="592"/>
      <c r="E226" s="592"/>
      <c r="F226" s="592"/>
      <c r="G226" s="592"/>
      <c r="H226" s="592"/>
      <c r="I226" s="592"/>
      <c r="J226" s="592"/>
      <c r="AI226" s="364">
        <v>181</v>
      </c>
      <c r="AJ226" s="330">
        <f t="shared" si="103"/>
        <v>0</v>
      </c>
      <c r="AK226" s="344" t="str">
        <f t="shared" si="104"/>
        <v>None</v>
      </c>
      <c r="AL226" s="330">
        <f t="shared" si="139"/>
        <v>0</v>
      </c>
      <c r="AM226" s="336">
        <f t="shared" si="136"/>
        <v>0</v>
      </c>
      <c r="AN226" s="330">
        <f t="shared" si="140"/>
        <v>0</v>
      </c>
      <c r="AO226" s="437">
        <f t="shared" si="137"/>
        <v>0</v>
      </c>
      <c r="AP226" s="348" t="b">
        <f t="shared" si="105"/>
        <v>0</v>
      </c>
      <c r="AQ226" s="348">
        <f t="shared" si="106"/>
        <v>0</v>
      </c>
      <c r="AR226" s="348">
        <f t="shared" si="107"/>
        <v>0</v>
      </c>
      <c r="AS226" s="348">
        <f t="shared" si="108"/>
        <v>0</v>
      </c>
      <c r="AT226" s="348" t="str">
        <f t="shared" si="128"/>
        <v/>
      </c>
      <c r="AU226" s="348" t="str">
        <f t="shared" si="129"/>
        <v/>
      </c>
      <c r="AV226" s="348">
        <f t="shared" si="130"/>
        <v>0</v>
      </c>
      <c r="AW226" s="348">
        <f t="shared" si="109"/>
        <v>0</v>
      </c>
      <c r="AX226" s="348">
        <f t="shared" si="110"/>
        <v>0</v>
      </c>
      <c r="AY226" s="330">
        <f t="shared" si="111"/>
        <v>0</v>
      </c>
      <c r="AZ226" s="330">
        <f t="shared" si="112"/>
        <v>0</v>
      </c>
      <c r="BA226" s="330">
        <f t="shared" si="113"/>
        <v>0</v>
      </c>
      <c r="BB226" s="330">
        <f t="shared" si="114"/>
        <v>0</v>
      </c>
      <c r="BC226" s="330">
        <f t="shared" si="115"/>
        <v>0</v>
      </c>
      <c r="BD226" s="330">
        <f t="shared" si="116"/>
        <v>0</v>
      </c>
      <c r="BE226" s="330">
        <f t="shared" si="131"/>
        <v>0</v>
      </c>
      <c r="BF226" s="330">
        <f t="shared" si="117"/>
        <v>0</v>
      </c>
      <c r="BG226" s="330">
        <f t="shared" si="118"/>
        <v>0</v>
      </c>
      <c r="BH226" s="330" t="str">
        <f t="shared" si="119"/>
        <v/>
      </c>
      <c r="BI226" s="330" t="str">
        <f t="shared" si="132"/>
        <v/>
      </c>
      <c r="BJ226" s="330" t="str">
        <f t="shared" si="133"/>
        <v/>
      </c>
      <c r="BK226" s="330" t="str">
        <f t="shared" si="120"/>
        <v/>
      </c>
      <c r="BL226" s="330" t="str">
        <f t="shared" si="121"/>
        <v/>
      </c>
      <c r="BM226" s="330" t="str">
        <f t="shared" si="134"/>
        <v/>
      </c>
      <c r="BN226" s="330" t="str">
        <f t="shared" si="138"/>
        <v/>
      </c>
      <c r="BO226" s="330">
        <f t="shared" si="122"/>
        <v>0</v>
      </c>
      <c r="BP226" s="330">
        <f t="shared" si="123"/>
        <v>0</v>
      </c>
      <c r="BQ226" s="330">
        <f t="shared" si="124"/>
        <v>0</v>
      </c>
      <c r="BR226" s="330" t="str">
        <f t="shared" si="125"/>
        <v/>
      </c>
      <c r="BS226" s="432" t="str">
        <f t="shared" si="135"/>
        <v/>
      </c>
    </row>
    <row r="227" spans="1:71">
      <c r="A227" s="592"/>
      <c r="B227" s="592"/>
      <c r="C227" s="592"/>
      <c r="D227" s="592"/>
      <c r="E227" s="592"/>
      <c r="F227" s="592"/>
      <c r="G227" s="592"/>
      <c r="H227" s="592"/>
      <c r="I227" s="592"/>
      <c r="J227" s="592"/>
      <c r="AI227" s="364">
        <v>182</v>
      </c>
      <c r="AJ227" s="330">
        <f t="shared" si="103"/>
        <v>0</v>
      </c>
      <c r="AK227" s="344" t="str">
        <f t="shared" si="104"/>
        <v>None</v>
      </c>
      <c r="AL227" s="330">
        <f t="shared" si="139"/>
        <v>0</v>
      </c>
      <c r="AM227" s="336">
        <f t="shared" si="136"/>
        <v>0</v>
      </c>
      <c r="AN227" s="330">
        <f t="shared" si="140"/>
        <v>0</v>
      </c>
      <c r="AO227" s="437">
        <f t="shared" si="137"/>
        <v>0</v>
      </c>
      <c r="AP227" s="348" t="b">
        <f t="shared" si="105"/>
        <v>0</v>
      </c>
      <c r="AQ227" s="348">
        <f t="shared" si="106"/>
        <v>0</v>
      </c>
      <c r="AR227" s="348">
        <f t="shared" si="107"/>
        <v>0</v>
      </c>
      <c r="AS227" s="348">
        <f t="shared" si="108"/>
        <v>0</v>
      </c>
      <c r="AT227" s="348" t="str">
        <f t="shared" si="128"/>
        <v/>
      </c>
      <c r="AU227" s="348" t="str">
        <f t="shared" si="129"/>
        <v/>
      </c>
      <c r="AV227" s="348">
        <f t="shared" si="130"/>
        <v>0</v>
      </c>
      <c r="AW227" s="348">
        <f t="shared" si="109"/>
        <v>0</v>
      </c>
      <c r="AX227" s="348">
        <f t="shared" si="110"/>
        <v>0</v>
      </c>
      <c r="AY227" s="330">
        <f t="shared" si="111"/>
        <v>0</v>
      </c>
      <c r="AZ227" s="330">
        <f t="shared" si="112"/>
        <v>0</v>
      </c>
      <c r="BA227" s="330">
        <f t="shared" si="113"/>
        <v>0</v>
      </c>
      <c r="BB227" s="330">
        <f t="shared" si="114"/>
        <v>0</v>
      </c>
      <c r="BC227" s="330">
        <f t="shared" si="115"/>
        <v>0</v>
      </c>
      <c r="BD227" s="330">
        <f t="shared" si="116"/>
        <v>0</v>
      </c>
      <c r="BE227" s="330">
        <f t="shared" si="131"/>
        <v>0</v>
      </c>
      <c r="BF227" s="330">
        <f t="shared" si="117"/>
        <v>0</v>
      </c>
      <c r="BG227" s="330">
        <f t="shared" si="118"/>
        <v>0</v>
      </c>
      <c r="BH227" s="330" t="str">
        <f t="shared" si="119"/>
        <v/>
      </c>
      <c r="BI227" s="330" t="str">
        <f t="shared" si="132"/>
        <v/>
      </c>
      <c r="BJ227" s="330" t="str">
        <f t="shared" si="133"/>
        <v/>
      </c>
      <c r="BK227" s="330" t="str">
        <f t="shared" si="120"/>
        <v/>
      </c>
      <c r="BL227" s="330" t="str">
        <f t="shared" si="121"/>
        <v/>
      </c>
      <c r="BM227" s="330" t="str">
        <f t="shared" si="134"/>
        <v/>
      </c>
      <c r="BN227" s="330" t="str">
        <f t="shared" si="138"/>
        <v/>
      </c>
      <c r="BO227" s="330">
        <f t="shared" si="122"/>
        <v>0</v>
      </c>
      <c r="BP227" s="330">
        <f t="shared" si="123"/>
        <v>0</v>
      </c>
      <c r="BQ227" s="330">
        <f t="shared" si="124"/>
        <v>0</v>
      </c>
      <c r="BR227" s="330" t="str">
        <f t="shared" si="125"/>
        <v/>
      </c>
      <c r="BS227" s="432" t="str">
        <f t="shared" si="135"/>
        <v/>
      </c>
    </row>
    <row r="228" spans="1:71">
      <c r="A228" s="592"/>
      <c r="B228" s="592"/>
      <c r="C228" s="592"/>
      <c r="D228" s="592"/>
      <c r="E228" s="592"/>
      <c r="F228" s="592"/>
      <c r="G228" s="592"/>
      <c r="H228" s="592"/>
      <c r="I228" s="592"/>
      <c r="J228" s="592"/>
      <c r="AI228" s="364">
        <v>183</v>
      </c>
      <c r="AJ228" s="330">
        <f t="shared" si="103"/>
        <v>0</v>
      </c>
      <c r="AK228" s="344" t="str">
        <f t="shared" si="104"/>
        <v>None</v>
      </c>
      <c r="AL228" s="330">
        <f t="shared" si="139"/>
        <v>0</v>
      </c>
      <c r="AM228" s="336">
        <f t="shared" si="136"/>
        <v>0</v>
      </c>
      <c r="AN228" s="330">
        <f t="shared" si="140"/>
        <v>0</v>
      </c>
      <c r="AO228" s="437">
        <f t="shared" si="137"/>
        <v>0</v>
      </c>
      <c r="AP228" s="348" t="b">
        <f t="shared" si="105"/>
        <v>0</v>
      </c>
      <c r="AQ228" s="348">
        <f t="shared" si="106"/>
        <v>0</v>
      </c>
      <c r="AR228" s="348">
        <f t="shared" si="107"/>
        <v>0</v>
      </c>
      <c r="AS228" s="348">
        <f t="shared" si="108"/>
        <v>0</v>
      </c>
      <c r="AT228" s="348" t="str">
        <f t="shared" si="128"/>
        <v/>
      </c>
      <c r="AU228" s="348" t="str">
        <f t="shared" si="129"/>
        <v/>
      </c>
      <c r="AV228" s="348">
        <f t="shared" si="130"/>
        <v>0</v>
      </c>
      <c r="AW228" s="348">
        <f t="shared" si="109"/>
        <v>0</v>
      </c>
      <c r="AX228" s="348">
        <f t="shared" si="110"/>
        <v>0</v>
      </c>
      <c r="AY228" s="330">
        <f t="shared" si="111"/>
        <v>0</v>
      </c>
      <c r="AZ228" s="330">
        <f t="shared" si="112"/>
        <v>0</v>
      </c>
      <c r="BA228" s="330">
        <f t="shared" si="113"/>
        <v>0</v>
      </c>
      <c r="BB228" s="330">
        <f t="shared" si="114"/>
        <v>0</v>
      </c>
      <c r="BC228" s="330">
        <f t="shared" si="115"/>
        <v>0</v>
      </c>
      <c r="BD228" s="330">
        <f t="shared" si="116"/>
        <v>0</v>
      </c>
      <c r="BE228" s="330">
        <f t="shared" si="131"/>
        <v>0</v>
      </c>
      <c r="BF228" s="330">
        <f t="shared" si="117"/>
        <v>0</v>
      </c>
      <c r="BG228" s="330">
        <f t="shared" si="118"/>
        <v>0</v>
      </c>
      <c r="BH228" s="330" t="str">
        <f t="shared" si="119"/>
        <v/>
      </c>
      <c r="BI228" s="330" t="str">
        <f t="shared" si="132"/>
        <v/>
      </c>
      <c r="BJ228" s="330" t="str">
        <f t="shared" si="133"/>
        <v/>
      </c>
      <c r="BK228" s="330" t="str">
        <f t="shared" si="120"/>
        <v/>
      </c>
      <c r="BL228" s="330" t="str">
        <f t="shared" si="121"/>
        <v/>
      </c>
      <c r="BM228" s="330" t="str">
        <f t="shared" si="134"/>
        <v/>
      </c>
      <c r="BN228" s="330" t="str">
        <f t="shared" si="138"/>
        <v/>
      </c>
      <c r="BO228" s="330">
        <f t="shared" si="122"/>
        <v>0</v>
      </c>
      <c r="BP228" s="330">
        <f t="shared" si="123"/>
        <v>0</v>
      </c>
      <c r="BQ228" s="330">
        <f t="shared" si="124"/>
        <v>0</v>
      </c>
      <c r="BR228" s="330" t="str">
        <f t="shared" si="125"/>
        <v/>
      </c>
      <c r="BS228" s="432" t="str">
        <f t="shared" si="135"/>
        <v/>
      </c>
    </row>
    <row r="229" spans="1:71">
      <c r="A229" s="592"/>
      <c r="B229" s="592"/>
      <c r="C229" s="592"/>
      <c r="D229" s="592"/>
      <c r="E229" s="592"/>
      <c r="F229" s="592"/>
      <c r="G229" s="592"/>
      <c r="H229" s="592"/>
      <c r="I229" s="592"/>
      <c r="J229" s="592"/>
      <c r="AI229" s="364">
        <v>184</v>
      </c>
      <c r="AJ229" s="330">
        <f t="shared" si="103"/>
        <v>0</v>
      </c>
      <c r="AK229" s="344" t="str">
        <f t="shared" si="104"/>
        <v>None</v>
      </c>
      <c r="AL229" s="330">
        <f t="shared" si="139"/>
        <v>0</v>
      </c>
      <c r="AM229" s="336">
        <f t="shared" si="136"/>
        <v>0</v>
      </c>
      <c r="AN229" s="330">
        <f t="shared" si="140"/>
        <v>0</v>
      </c>
      <c r="AO229" s="437">
        <f t="shared" si="137"/>
        <v>0</v>
      </c>
      <c r="AP229" s="348" t="b">
        <f t="shared" si="105"/>
        <v>0</v>
      </c>
      <c r="AQ229" s="348">
        <f t="shared" si="106"/>
        <v>0</v>
      </c>
      <c r="AR229" s="348">
        <f t="shared" si="107"/>
        <v>0</v>
      </c>
      <c r="AS229" s="348">
        <f t="shared" si="108"/>
        <v>0</v>
      </c>
      <c r="AT229" s="348" t="str">
        <f t="shared" si="128"/>
        <v/>
      </c>
      <c r="AU229" s="348" t="str">
        <f t="shared" si="129"/>
        <v/>
      </c>
      <c r="AV229" s="348">
        <f t="shared" si="130"/>
        <v>0</v>
      </c>
      <c r="AW229" s="348">
        <f t="shared" si="109"/>
        <v>0</v>
      </c>
      <c r="AX229" s="348">
        <f t="shared" si="110"/>
        <v>0</v>
      </c>
      <c r="AY229" s="330">
        <f t="shared" si="111"/>
        <v>0</v>
      </c>
      <c r="AZ229" s="330">
        <f t="shared" si="112"/>
        <v>0</v>
      </c>
      <c r="BA229" s="330">
        <f t="shared" si="113"/>
        <v>0</v>
      </c>
      <c r="BB229" s="330">
        <f t="shared" si="114"/>
        <v>0</v>
      </c>
      <c r="BC229" s="330">
        <f t="shared" si="115"/>
        <v>0</v>
      </c>
      <c r="BD229" s="330">
        <f t="shared" si="116"/>
        <v>0</v>
      </c>
      <c r="BE229" s="330">
        <f t="shared" si="131"/>
        <v>0</v>
      </c>
      <c r="BF229" s="330">
        <f t="shared" si="117"/>
        <v>0</v>
      </c>
      <c r="BG229" s="330">
        <f t="shared" si="118"/>
        <v>0</v>
      </c>
      <c r="BH229" s="330" t="str">
        <f t="shared" si="119"/>
        <v/>
      </c>
      <c r="BI229" s="330" t="str">
        <f t="shared" si="132"/>
        <v/>
      </c>
      <c r="BJ229" s="330" t="str">
        <f t="shared" si="133"/>
        <v/>
      </c>
      <c r="BK229" s="330" t="str">
        <f t="shared" si="120"/>
        <v/>
      </c>
      <c r="BL229" s="330" t="str">
        <f t="shared" si="121"/>
        <v/>
      </c>
      <c r="BM229" s="330" t="str">
        <f t="shared" si="134"/>
        <v/>
      </c>
      <c r="BN229" s="330" t="str">
        <f t="shared" si="138"/>
        <v/>
      </c>
      <c r="BO229" s="330">
        <f t="shared" si="122"/>
        <v>0</v>
      </c>
      <c r="BP229" s="330">
        <f t="shared" si="123"/>
        <v>0</v>
      </c>
      <c r="BQ229" s="330">
        <f t="shared" si="124"/>
        <v>0</v>
      </c>
      <c r="BR229" s="330" t="str">
        <f t="shared" si="125"/>
        <v/>
      </c>
      <c r="BS229" s="432" t="str">
        <f t="shared" si="135"/>
        <v/>
      </c>
    </row>
    <row r="230" spans="1:71">
      <c r="A230" s="592"/>
      <c r="B230" s="592"/>
      <c r="C230" s="592"/>
      <c r="D230" s="592"/>
      <c r="E230" s="592"/>
      <c r="F230" s="592"/>
      <c r="G230" s="592"/>
      <c r="H230" s="592"/>
      <c r="I230" s="592"/>
      <c r="J230" s="592"/>
      <c r="AI230" s="364">
        <v>185</v>
      </c>
      <c r="AJ230" s="330">
        <f t="shared" si="103"/>
        <v>0</v>
      </c>
      <c r="AK230" s="344" t="str">
        <f t="shared" si="104"/>
        <v>None</v>
      </c>
      <c r="AL230" s="330">
        <f t="shared" si="139"/>
        <v>0</v>
      </c>
      <c r="AM230" s="336">
        <f t="shared" si="136"/>
        <v>0</v>
      </c>
      <c r="AN230" s="330">
        <f t="shared" si="140"/>
        <v>0</v>
      </c>
      <c r="AO230" s="437">
        <f t="shared" si="137"/>
        <v>0</v>
      </c>
      <c r="AP230" s="348" t="b">
        <f t="shared" si="105"/>
        <v>0</v>
      </c>
      <c r="AQ230" s="348">
        <f t="shared" si="106"/>
        <v>0</v>
      </c>
      <c r="AR230" s="348">
        <f t="shared" si="107"/>
        <v>0</v>
      </c>
      <c r="AS230" s="348">
        <f t="shared" si="108"/>
        <v>0</v>
      </c>
      <c r="AT230" s="348" t="str">
        <f t="shared" si="128"/>
        <v/>
      </c>
      <c r="AU230" s="348" t="str">
        <f t="shared" si="129"/>
        <v/>
      </c>
      <c r="AV230" s="348">
        <f t="shared" si="130"/>
        <v>0</v>
      </c>
      <c r="AW230" s="348">
        <f t="shared" si="109"/>
        <v>0</v>
      </c>
      <c r="AX230" s="348">
        <f t="shared" si="110"/>
        <v>0</v>
      </c>
      <c r="AY230" s="330">
        <f t="shared" si="111"/>
        <v>0</v>
      </c>
      <c r="AZ230" s="330">
        <f t="shared" si="112"/>
        <v>0</v>
      </c>
      <c r="BA230" s="330">
        <f t="shared" si="113"/>
        <v>0</v>
      </c>
      <c r="BB230" s="330">
        <f t="shared" si="114"/>
        <v>0</v>
      </c>
      <c r="BC230" s="330">
        <f t="shared" si="115"/>
        <v>0</v>
      </c>
      <c r="BD230" s="330">
        <f t="shared" si="116"/>
        <v>0</v>
      </c>
      <c r="BE230" s="330">
        <f t="shared" si="131"/>
        <v>0</v>
      </c>
      <c r="BF230" s="330">
        <f t="shared" si="117"/>
        <v>0</v>
      </c>
      <c r="BG230" s="330">
        <f t="shared" si="118"/>
        <v>0</v>
      </c>
      <c r="BH230" s="330" t="str">
        <f t="shared" si="119"/>
        <v/>
      </c>
      <c r="BI230" s="330" t="str">
        <f t="shared" si="132"/>
        <v/>
      </c>
      <c r="BJ230" s="330" t="str">
        <f t="shared" si="133"/>
        <v/>
      </c>
      <c r="BK230" s="330" t="str">
        <f t="shared" si="120"/>
        <v/>
      </c>
      <c r="BL230" s="330" t="str">
        <f t="shared" si="121"/>
        <v/>
      </c>
      <c r="BM230" s="330" t="str">
        <f t="shared" si="134"/>
        <v/>
      </c>
      <c r="BN230" s="330" t="str">
        <f t="shared" si="138"/>
        <v/>
      </c>
      <c r="BO230" s="330">
        <f t="shared" si="122"/>
        <v>0</v>
      </c>
      <c r="BP230" s="330">
        <f t="shared" si="123"/>
        <v>0</v>
      </c>
      <c r="BQ230" s="330">
        <f t="shared" si="124"/>
        <v>0</v>
      </c>
      <c r="BR230" s="330" t="str">
        <f t="shared" si="125"/>
        <v/>
      </c>
      <c r="BS230" s="432" t="str">
        <f t="shared" si="135"/>
        <v/>
      </c>
    </row>
    <row r="231" spans="1:71">
      <c r="A231" s="592"/>
      <c r="B231" s="592"/>
      <c r="C231" s="592"/>
      <c r="D231" s="592"/>
      <c r="E231" s="592"/>
      <c r="F231" s="592"/>
      <c r="G231" s="592"/>
      <c r="H231" s="592"/>
      <c r="I231" s="592"/>
      <c r="J231" s="592"/>
      <c r="AI231" s="364">
        <v>186</v>
      </c>
      <c r="AJ231" s="330">
        <f t="shared" si="103"/>
        <v>0</v>
      </c>
      <c r="AK231" s="344" t="str">
        <f t="shared" si="104"/>
        <v>None</v>
      </c>
      <c r="AL231" s="330">
        <f t="shared" si="139"/>
        <v>0</v>
      </c>
      <c r="AM231" s="336">
        <f t="shared" si="136"/>
        <v>0</v>
      </c>
      <c r="AN231" s="330">
        <f t="shared" si="140"/>
        <v>0</v>
      </c>
      <c r="AO231" s="437">
        <f t="shared" si="137"/>
        <v>0</v>
      </c>
      <c r="AP231" s="348" t="b">
        <f t="shared" si="105"/>
        <v>0</v>
      </c>
      <c r="AQ231" s="348">
        <f t="shared" si="106"/>
        <v>0</v>
      </c>
      <c r="AR231" s="348">
        <f t="shared" si="107"/>
        <v>0</v>
      </c>
      <c r="AS231" s="348">
        <f t="shared" si="108"/>
        <v>0</v>
      </c>
      <c r="AT231" s="348" t="str">
        <f t="shared" si="128"/>
        <v/>
      </c>
      <c r="AU231" s="348" t="str">
        <f t="shared" si="129"/>
        <v/>
      </c>
      <c r="AV231" s="348">
        <f t="shared" si="130"/>
        <v>0</v>
      </c>
      <c r="AW231" s="348">
        <f t="shared" si="109"/>
        <v>0</v>
      </c>
      <c r="AX231" s="348">
        <f t="shared" si="110"/>
        <v>0</v>
      </c>
      <c r="AY231" s="330">
        <f t="shared" si="111"/>
        <v>0</v>
      </c>
      <c r="AZ231" s="330">
        <f t="shared" si="112"/>
        <v>0</v>
      </c>
      <c r="BA231" s="330">
        <f t="shared" si="113"/>
        <v>0</v>
      </c>
      <c r="BB231" s="330">
        <f t="shared" si="114"/>
        <v>0</v>
      </c>
      <c r="BC231" s="330">
        <f t="shared" si="115"/>
        <v>0</v>
      </c>
      <c r="BD231" s="330">
        <f t="shared" si="116"/>
        <v>0</v>
      </c>
      <c r="BE231" s="330">
        <f t="shared" si="131"/>
        <v>0</v>
      </c>
      <c r="BF231" s="330">
        <f t="shared" si="117"/>
        <v>0</v>
      </c>
      <c r="BG231" s="330">
        <f t="shared" si="118"/>
        <v>0</v>
      </c>
      <c r="BH231" s="330" t="str">
        <f t="shared" si="119"/>
        <v/>
      </c>
      <c r="BI231" s="330" t="str">
        <f t="shared" si="132"/>
        <v/>
      </c>
      <c r="BJ231" s="330" t="str">
        <f t="shared" si="133"/>
        <v/>
      </c>
      <c r="BK231" s="330" t="str">
        <f t="shared" si="120"/>
        <v/>
      </c>
      <c r="BL231" s="330" t="str">
        <f t="shared" si="121"/>
        <v/>
      </c>
      <c r="BM231" s="330" t="str">
        <f t="shared" si="134"/>
        <v/>
      </c>
      <c r="BN231" s="330" t="str">
        <f t="shared" si="138"/>
        <v/>
      </c>
      <c r="BO231" s="330">
        <f t="shared" si="122"/>
        <v>0</v>
      </c>
      <c r="BP231" s="330">
        <f t="shared" si="123"/>
        <v>0</v>
      </c>
      <c r="BQ231" s="330">
        <f t="shared" si="124"/>
        <v>0</v>
      </c>
      <c r="BR231" s="330" t="str">
        <f t="shared" si="125"/>
        <v/>
      </c>
      <c r="BS231" s="432" t="str">
        <f t="shared" si="135"/>
        <v/>
      </c>
    </row>
    <row r="232" spans="1:71">
      <c r="A232" s="592"/>
      <c r="B232" s="592"/>
      <c r="C232" s="592"/>
      <c r="D232" s="592"/>
      <c r="E232" s="592"/>
      <c r="F232" s="592"/>
      <c r="G232" s="592"/>
      <c r="H232" s="592"/>
      <c r="I232" s="592"/>
      <c r="J232" s="592"/>
      <c r="AI232" s="364">
        <v>187</v>
      </c>
      <c r="AJ232" s="330">
        <f t="shared" si="103"/>
        <v>0</v>
      </c>
      <c r="AK232" s="344" t="str">
        <f t="shared" si="104"/>
        <v>None</v>
      </c>
      <c r="AL232" s="330">
        <f t="shared" si="139"/>
        <v>0</v>
      </c>
      <c r="AM232" s="336">
        <f t="shared" si="136"/>
        <v>0</v>
      </c>
      <c r="AN232" s="330">
        <f t="shared" si="140"/>
        <v>0</v>
      </c>
      <c r="AO232" s="437">
        <f t="shared" si="137"/>
        <v>0</v>
      </c>
      <c r="AP232" s="348" t="b">
        <f t="shared" si="105"/>
        <v>0</v>
      </c>
      <c r="AQ232" s="348">
        <f t="shared" si="106"/>
        <v>0</v>
      </c>
      <c r="AR232" s="348">
        <f t="shared" si="107"/>
        <v>0</v>
      </c>
      <c r="AS232" s="348">
        <f t="shared" si="108"/>
        <v>0</v>
      </c>
      <c r="AT232" s="348" t="str">
        <f t="shared" si="128"/>
        <v/>
      </c>
      <c r="AU232" s="348" t="str">
        <f t="shared" si="129"/>
        <v/>
      </c>
      <c r="AV232" s="348">
        <f t="shared" si="130"/>
        <v>0</v>
      </c>
      <c r="AW232" s="348">
        <f t="shared" si="109"/>
        <v>0</v>
      </c>
      <c r="AX232" s="348">
        <f t="shared" si="110"/>
        <v>0</v>
      </c>
      <c r="AY232" s="330">
        <f t="shared" si="111"/>
        <v>0</v>
      </c>
      <c r="AZ232" s="330">
        <f t="shared" si="112"/>
        <v>0</v>
      </c>
      <c r="BA232" s="330">
        <f t="shared" si="113"/>
        <v>0</v>
      </c>
      <c r="BB232" s="330">
        <f t="shared" si="114"/>
        <v>0</v>
      </c>
      <c r="BC232" s="330">
        <f t="shared" si="115"/>
        <v>0</v>
      </c>
      <c r="BD232" s="330">
        <f t="shared" si="116"/>
        <v>0</v>
      </c>
      <c r="BE232" s="330">
        <f t="shared" si="131"/>
        <v>0</v>
      </c>
      <c r="BF232" s="330">
        <f t="shared" si="117"/>
        <v>0</v>
      </c>
      <c r="BG232" s="330">
        <f t="shared" si="118"/>
        <v>0</v>
      </c>
      <c r="BH232" s="330" t="str">
        <f t="shared" si="119"/>
        <v/>
      </c>
      <c r="BI232" s="330" t="str">
        <f t="shared" si="132"/>
        <v/>
      </c>
      <c r="BJ232" s="330" t="str">
        <f t="shared" si="133"/>
        <v/>
      </c>
      <c r="BK232" s="330" t="str">
        <f t="shared" si="120"/>
        <v/>
      </c>
      <c r="BL232" s="330" t="str">
        <f t="shared" si="121"/>
        <v/>
      </c>
      <c r="BM232" s="330" t="str">
        <f t="shared" si="134"/>
        <v/>
      </c>
      <c r="BN232" s="330" t="str">
        <f t="shared" si="138"/>
        <v/>
      </c>
      <c r="BO232" s="330">
        <f t="shared" si="122"/>
        <v>0</v>
      </c>
      <c r="BP232" s="330">
        <f t="shared" si="123"/>
        <v>0</v>
      </c>
      <c r="BQ232" s="330">
        <f t="shared" si="124"/>
        <v>0</v>
      </c>
      <c r="BR232" s="330" t="str">
        <f t="shared" si="125"/>
        <v/>
      </c>
      <c r="BS232" s="432" t="str">
        <f t="shared" si="135"/>
        <v/>
      </c>
    </row>
    <row r="233" spans="1:71">
      <c r="A233" s="592"/>
      <c r="B233" s="592"/>
      <c r="C233" s="592"/>
      <c r="D233" s="592"/>
      <c r="E233" s="592"/>
      <c r="F233" s="592"/>
      <c r="G233" s="592"/>
      <c r="H233" s="592"/>
      <c r="I233" s="592"/>
      <c r="J233" s="592"/>
      <c r="AI233" s="364">
        <v>188</v>
      </c>
      <c r="AJ233" s="330">
        <f t="shared" si="103"/>
        <v>0</v>
      </c>
      <c r="AK233" s="344" t="str">
        <f t="shared" si="104"/>
        <v>None</v>
      </c>
      <c r="AL233" s="330">
        <f t="shared" si="139"/>
        <v>0</v>
      </c>
      <c r="AM233" s="336">
        <f t="shared" si="136"/>
        <v>0</v>
      </c>
      <c r="AN233" s="330">
        <f t="shared" si="140"/>
        <v>0</v>
      </c>
      <c r="AO233" s="437">
        <f t="shared" si="137"/>
        <v>0</v>
      </c>
      <c r="AP233" s="348" t="b">
        <f t="shared" si="105"/>
        <v>0</v>
      </c>
      <c r="AQ233" s="348">
        <f t="shared" si="106"/>
        <v>0</v>
      </c>
      <c r="AR233" s="348">
        <f t="shared" si="107"/>
        <v>0</v>
      </c>
      <c r="AS233" s="348">
        <f t="shared" si="108"/>
        <v>0</v>
      </c>
      <c r="AT233" s="348" t="str">
        <f t="shared" si="128"/>
        <v/>
      </c>
      <c r="AU233" s="348" t="str">
        <f t="shared" si="129"/>
        <v/>
      </c>
      <c r="AV233" s="348">
        <f t="shared" si="130"/>
        <v>0</v>
      </c>
      <c r="AW233" s="348">
        <f t="shared" si="109"/>
        <v>0</v>
      </c>
      <c r="AX233" s="348">
        <f t="shared" si="110"/>
        <v>0</v>
      </c>
      <c r="AY233" s="330">
        <f t="shared" si="111"/>
        <v>0</v>
      </c>
      <c r="AZ233" s="330">
        <f t="shared" si="112"/>
        <v>0</v>
      </c>
      <c r="BA233" s="330">
        <f t="shared" si="113"/>
        <v>0</v>
      </c>
      <c r="BB233" s="330">
        <f t="shared" si="114"/>
        <v>0</v>
      </c>
      <c r="BC233" s="330">
        <f t="shared" si="115"/>
        <v>0</v>
      </c>
      <c r="BD233" s="330">
        <f t="shared" si="116"/>
        <v>0</v>
      </c>
      <c r="BE233" s="330">
        <f t="shared" si="131"/>
        <v>0</v>
      </c>
      <c r="BF233" s="330">
        <f t="shared" si="117"/>
        <v>0</v>
      </c>
      <c r="BG233" s="330">
        <f t="shared" si="118"/>
        <v>0</v>
      </c>
      <c r="BH233" s="330" t="str">
        <f t="shared" si="119"/>
        <v/>
      </c>
      <c r="BI233" s="330" t="str">
        <f t="shared" si="132"/>
        <v/>
      </c>
      <c r="BJ233" s="330" t="str">
        <f t="shared" si="133"/>
        <v/>
      </c>
      <c r="BK233" s="330" t="str">
        <f t="shared" si="120"/>
        <v/>
      </c>
      <c r="BL233" s="330" t="str">
        <f t="shared" si="121"/>
        <v/>
      </c>
      <c r="BM233" s="330" t="str">
        <f t="shared" si="134"/>
        <v/>
      </c>
      <c r="BN233" s="330" t="str">
        <f t="shared" si="138"/>
        <v/>
      </c>
      <c r="BO233" s="330">
        <f t="shared" si="122"/>
        <v>0</v>
      </c>
      <c r="BP233" s="330">
        <f t="shared" si="123"/>
        <v>0</v>
      </c>
      <c r="BQ233" s="330">
        <f t="shared" si="124"/>
        <v>0</v>
      </c>
      <c r="BR233" s="330" t="str">
        <f t="shared" si="125"/>
        <v/>
      </c>
      <c r="BS233" s="432" t="str">
        <f t="shared" si="135"/>
        <v/>
      </c>
    </row>
    <row r="234" spans="1:71">
      <c r="A234" s="592"/>
      <c r="B234" s="592"/>
      <c r="C234" s="592"/>
      <c r="D234" s="592"/>
      <c r="E234" s="592"/>
      <c r="F234" s="592"/>
      <c r="G234" s="592"/>
      <c r="H234" s="592"/>
      <c r="I234" s="592"/>
      <c r="J234" s="592"/>
      <c r="AI234" s="364">
        <v>189</v>
      </c>
      <c r="AJ234" s="330">
        <f t="shared" si="103"/>
        <v>0</v>
      </c>
      <c r="AK234" s="344" t="str">
        <f t="shared" si="104"/>
        <v>None</v>
      </c>
      <c r="AL234" s="330">
        <f t="shared" si="139"/>
        <v>0</v>
      </c>
      <c r="AM234" s="336">
        <f t="shared" si="136"/>
        <v>0</v>
      </c>
      <c r="AN234" s="330">
        <f t="shared" si="140"/>
        <v>0</v>
      </c>
      <c r="AO234" s="437">
        <f t="shared" si="137"/>
        <v>0</v>
      </c>
      <c r="AP234" s="348" t="b">
        <f t="shared" si="105"/>
        <v>0</v>
      </c>
      <c r="AQ234" s="348">
        <f t="shared" si="106"/>
        <v>0</v>
      </c>
      <c r="AR234" s="348">
        <f t="shared" si="107"/>
        <v>0</v>
      </c>
      <c r="AS234" s="348">
        <f t="shared" si="108"/>
        <v>0</v>
      </c>
      <c r="AT234" s="348" t="str">
        <f t="shared" si="128"/>
        <v/>
      </c>
      <c r="AU234" s="348" t="str">
        <f t="shared" si="129"/>
        <v/>
      </c>
      <c r="AV234" s="348">
        <f t="shared" si="130"/>
        <v>0</v>
      </c>
      <c r="AW234" s="348">
        <f t="shared" si="109"/>
        <v>0</v>
      </c>
      <c r="AX234" s="348">
        <f t="shared" si="110"/>
        <v>0</v>
      </c>
      <c r="AY234" s="330">
        <f t="shared" si="111"/>
        <v>0</v>
      </c>
      <c r="AZ234" s="330">
        <f t="shared" si="112"/>
        <v>0</v>
      </c>
      <c r="BA234" s="330">
        <f t="shared" si="113"/>
        <v>0</v>
      </c>
      <c r="BB234" s="330">
        <f t="shared" si="114"/>
        <v>0</v>
      </c>
      <c r="BC234" s="330">
        <f t="shared" si="115"/>
        <v>0</v>
      </c>
      <c r="BD234" s="330">
        <f t="shared" si="116"/>
        <v>0</v>
      </c>
      <c r="BE234" s="330">
        <f t="shared" si="131"/>
        <v>0</v>
      </c>
      <c r="BF234" s="330">
        <f t="shared" si="117"/>
        <v>0</v>
      </c>
      <c r="BG234" s="330">
        <f t="shared" si="118"/>
        <v>0</v>
      </c>
      <c r="BH234" s="330" t="str">
        <f t="shared" si="119"/>
        <v/>
      </c>
      <c r="BI234" s="330" t="str">
        <f t="shared" si="132"/>
        <v/>
      </c>
      <c r="BJ234" s="330" t="str">
        <f t="shared" si="133"/>
        <v/>
      </c>
      <c r="BK234" s="330" t="str">
        <f t="shared" si="120"/>
        <v/>
      </c>
      <c r="BL234" s="330" t="str">
        <f t="shared" si="121"/>
        <v/>
      </c>
      <c r="BM234" s="330" t="str">
        <f t="shared" si="134"/>
        <v/>
      </c>
      <c r="BN234" s="330" t="str">
        <f t="shared" si="138"/>
        <v/>
      </c>
      <c r="BO234" s="330">
        <f t="shared" si="122"/>
        <v>0</v>
      </c>
      <c r="BP234" s="330">
        <f t="shared" si="123"/>
        <v>0</v>
      </c>
      <c r="BQ234" s="330">
        <f t="shared" si="124"/>
        <v>0</v>
      </c>
      <c r="BR234" s="330" t="str">
        <f t="shared" si="125"/>
        <v/>
      </c>
      <c r="BS234" s="432" t="str">
        <f t="shared" si="135"/>
        <v/>
      </c>
    </row>
    <row r="235" spans="1:71">
      <c r="A235" s="592"/>
      <c r="B235" s="592"/>
      <c r="C235" s="592"/>
      <c r="D235" s="592"/>
      <c r="E235" s="592"/>
      <c r="F235" s="592"/>
      <c r="G235" s="592"/>
      <c r="H235" s="592"/>
      <c r="I235" s="592"/>
      <c r="J235" s="592"/>
      <c r="AI235" s="364">
        <v>190</v>
      </c>
      <c r="AJ235" s="330">
        <f t="shared" si="103"/>
        <v>0</v>
      </c>
      <c r="AK235" s="344" t="str">
        <f t="shared" si="104"/>
        <v>None</v>
      </c>
      <c r="AL235" s="330">
        <f t="shared" si="139"/>
        <v>0</v>
      </c>
      <c r="AM235" s="336">
        <f t="shared" si="136"/>
        <v>0</v>
      </c>
      <c r="AN235" s="330">
        <f t="shared" si="140"/>
        <v>0</v>
      </c>
      <c r="AO235" s="437">
        <f t="shared" si="137"/>
        <v>0</v>
      </c>
      <c r="AP235" s="348" t="b">
        <f t="shared" si="105"/>
        <v>0</v>
      </c>
      <c r="AQ235" s="348">
        <f t="shared" si="106"/>
        <v>0</v>
      </c>
      <c r="AR235" s="348">
        <f t="shared" si="107"/>
        <v>0</v>
      </c>
      <c r="AS235" s="348">
        <f t="shared" si="108"/>
        <v>0</v>
      </c>
      <c r="AT235" s="348" t="str">
        <f t="shared" si="128"/>
        <v/>
      </c>
      <c r="AU235" s="348" t="str">
        <f t="shared" si="129"/>
        <v/>
      </c>
      <c r="AV235" s="348">
        <f t="shared" si="130"/>
        <v>0</v>
      </c>
      <c r="AW235" s="348">
        <f t="shared" si="109"/>
        <v>0</v>
      </c>
      <c r="AX235" s="348">
        <f t="shared" si="110"/>
        <v>0</v>
      </c>
      <c r="AY235" s="330">
        <f t="shared" si="111"/>
        <v>0</v>
      </c>
      <c r="AZ235" s="330">
        <f t="shared" si="112"/>
        <v>0</v>
      </c>
      <c r="BA235" s="330">
        <f t="shared" si="113"/>
        <v>0</v>
      </c>
      <c r="BB235" s="330">
        <f t="shared" si="114"/>
        <v>0</v>
      </c>
      <c r="BC235" s="330">
        <f t="shared" si="115"/>
        <v>0</v>
      </c>
      <c r="BD235" s="330">
        <f t="shared" si="116"/>
        <v>0</v>
      </c>
      <c r="BE235" s="330">
        <f t="shared" si="131"/>
        <v>0</v>
      </c>
      <c r="BF235" s="330">
        <f t="shared" si="117"/>
        <v>0</v>
      </c>
      <c r="BG235" s="330">
        <f t="shared" si="118"/>
        <v>0</v>
      </c>
      <c r="BH235" s="330" t="str">
        <f t="shared" si="119"/>
        <v/>
      </c>
      <c r="BI235" s="330" t="str">
        <f t="shared" si="132"/>
        <v/>
      </c>
      <c r="BJ235" s="330" t="str">
        <f t="shared" si="133"/>
        <v/>
      </c>
      <c r="BK235" s="330" t="str">
        <f t="shared" si="120"/>
        <v/>
      </c>
      <c r="BL235" s="330" t="str">
        <f t="shared" si="121"/>
        <v/>
      </c>
      <c r="BM235" s="330" t="str">
        <f t="shared" si="134"/>
        <v/>
      </c>
      <c r="BN235" s="330" t="str">
        <f t="shared" si="138"/>
        <v/>
      </c>
      <c r="BO235" s="330">
        <f t="shared" si="122"/>
        <v>0</v>
      </c>
      <c r="BP235" s="330">
        <f t="shared" si="123"/>
        <v>0</v>
      </c>
      <c r="BQ235" s="330">
        <f t="shared" si="124"/>
        <v>0</v>
      </c>
      <c r="BR235" s="330" t="str">
        <f t="shared" si="125"/>
        <v/>
      </c>
      <c r="BS235" s="432" t="str">
        <f t="shared" si="135"/>
        <v/>
      </c>
    </row>
    <row r="236" spans="1:71">
      <c r="A236" s="592"/>
      <c r="B236" s="592"/>
      <c r="C236" s="592"/>
      <c r="D236" s="592"/>
      <c r="E236" s="592"/>
      <c r="F236" s="592"/>
      <c r="G236" s="592"/>
      <c r="H236" s="592"/>
      <c r="I236" s="592"/>
      <c r="J236" s="592"/>
      <c r="AI236" s="364">
        <v>191</v>
      </c>
      <c r="AJ236" s="330">
        <f t="shared" si="103"/>
        <v>0</v>
      </c>
      <c r="AK236" s="344" t="str">
        <f t="shared" si="104"/>
        <v>None</v>
      </c>
      <c r="AL236" s="330">
        <f t="shared" si="139"/>
        <v>0</v>
      </c>
      <c r="AM236" s="336">
        <f t="shared" si="136"/>
        <v>0</v>
      </c>
      <c r="AN236" s="330">
        <f t="shared" si="140"/>
        <v>0</v>
      </c>
      <c r="AO236" s="437">
        <f t="shared" si="137"/>
        <v>0</v>
      </c>
      <c r="AP236" s="348" t="b">
        <f t="shared" si="105"/>
        <v>0</v>
      </c>
      <c r="AQ236" s="348">
        <f t="shared" si="106"/>
        <v>0</v>
      </c>
      <c r="AR236" s="348">
        <f t="shared" si="107"/>
        <v>0</v>
      </c>
      <c r="AS236" s="348">
        <f t="shared" si="108"/>
        <v>0</v>
      </c>
      <c r="AT236" s="348" t="str">
        <f t="shared" si="128"/>
        <v/>
      </c>
      <c r="AU236" s="348" t="str">
        <f t="shared" si="129"/>
        <v/>
      </c>
      <c r="AV236" s="348">
        <f t="shared" si="130"/>
        <v>0</v>
      </c>
      <c r="AW236" s="348">
        <f t="shared" si="109"/>
        <v>0</v>
      </c>
      <c r="AX236" s="348">
        <f t="shared" si="110"/>
        <v>0</v>
      </c>
      <c r="AY236" s="330">
        <f t="shared" si="111"/>
        <v>0</v>
      </c>
      <c r="AZ236" s="330">
        <f t="shared" si="112"/>
        <v>0</v>
      </c>
      <c r="BA236" s="330">
        <f t="shared" si="113"/>
        <v>0</v>
      </c>
      <c r="BB236" s="330">
        <f t="shared" si="114"/>
        <v>0</v>
      </c>
      <c r="BC236" s="330">
        <f t="shared" si="115"/>
        <v>0</v>
      </c>
      <c r="BD236" s="330">
        <f t="shared" si="116"/>
        <v>0</v>
      </c>
      <c r="BE236" s="330">
        <f t="shared" si="131"/>
        <v>0</v>
      </c>
      <c r="BF236" s="330">
        <f t="shared" si="117"/>
        <v>0</v>
      </c>
      <c r="BG236" s="330">
        <f t="shared" si="118"/>
        <v>0</v>
      </c>
      <c r="BH236" s="330" t="str">
        <f t="shared" si="119"/>
        <v/>
      </c>
      <c r="BI236" s="330" t="str">
        <f t="shared" si="132"/>
        <v/>
      </c>
      <c r="BJ236" s="330" t="str">
        <f t="shared" si="133"/>
        <v/>
      </c>
      <c r="BK236" s="330" t="str">
        <f t="shared" si="120"/>
        <v/>
      </c>
      <c r="BL236" s="330" t="str">
        <f t="shared" si="121"/>
        <v/>
      </c>
      <c r="BM236" s="330" t="str">
        <f t="shared" si="134"/>
        <v/>
      </c>
      <c r="BN236" s="330" t="str">
        <f t="shared" si="138"/>
        <v/>
      </c>
      <c r="BO236" s="330">
        <f t="shared" si="122"/>
        <v>0</v>
      </c>
      <c r="BP236" s="330">
        <f t="shared" si="123"/>
        <v>0</v>
      </c>
      <c r="BQ236" s="330">
        <f t="shared" si="124"/>
        <v>0</v>
      </c>
      <c r="BR236" s="330" t="str">
        <f t="shared" si="125"/>
        <v/>
      </c>
      <c r="BS236" s="432" t="str">
        <f t="shared" si="135"/>
        <v/>
      </c>
    </row>
    <row r="237" spans="1:71">
      <c r="A237" s="592"/>
      <c r="B237" s="592"/>
      <c r="C237" s="592"/>
      <c r="D237" s="592"/>
      <c r="E237" s="592"/>
      <c r="F237" s="592"/>
      <c r="G237" s="592"/>
      <c r="H237" s="592"/>
      <c r="I237" s="592"/>
      <c r="J237" s="592"/>
      <c r="AI237" s="364">
        <v>192</v>
      </c>
      <c r="AJ237" s="330">
        <f t="shared" ref="AJ237:AJ238" si="141">($AI237/$AI$245)*$AJ$245</f>
        <v>0</v>
      </c>
      <c r="AK237" s="344" t="str">
        <f t="shared" ref="AK237:AK245" si="142">IF(OR($C$19="",$F$25="",$G$25=""),"None",IF(AL237&lt;$B$14,"Left Floodplain",IF(AL237&lt;$B$15,"Left Bank",IF(AL237&lt;$B$16,"Left Stream Bed",IF(AL237&lt;$B$17,"Right Stream Bed",IF(AL237&lt;$B$18,"Right Bank","Right Floodplain"))))))</f>
        <v>None</v>
      </c>
      <c r="AL237" s="330">
        <f t="shared" si="139"/>
        <v>0</v>
      </c>
      <c r="AM237" s="336">
        <f t="shared" si="136"/>
        <v>0</v>
      </c>
      <c r="AN237" s="330">
        <f t="shared" si="140"/>
        <v>0</v>
      </c>
      <c r="AO237" s="437">
        <f t="shared" si="137"/>
        <v>0</v>
      </c>
      <c r="AP237" s="348" t="b">
        <f t="shared" ref="AP237:AP245" si="143">IF($AL237&lt;$B$14,(($AL237-$B$13)*$AB$31)+$C$13,IF($AL237&lt;$B$15,(($AL237-$B$14)*$AB$32)+$C$14,IF($AL237&lt;$B$16,(($AL237-$B$15)*$AB$33)+$C$15,IF($AL237&lt;$B$17,(($AL237-$B$16)*$AB$34)+$C$16,IF($AL237&lt;$B$18,(($AL237-$B$17)*$AB$35)+$C$17,IF($AL237&lt;$B$19,(($AL237-$B$18)*$AB$36)+$C$18))))))</f>
        <v>0</v>
      </c>
      <c r="AQ237" s="348">
        <f t="shared" ref="AQ237:AQ245" si="144">IF(OR($AP237&lt;$AE$12,$AP237&lt;=$AM237),0,IF(OR($AP237&gt;=$AE$12,$AM237&gt;=$AE$12),$AP237-$AM237-$AR237,$AP237-$AE$12))</f>
        <v>0</v>
      </c>
      <c r="AR237" s="348">
        <f t="shared" ref="AR237:AR245" si="145">IF($AP237&lt;=$AM237,0,IF($AM237&gt;=$AE$12,0,IF($AP237&lt;=$AE$12,$AP237-$AM237,$AE$12-$AM237)))</f>
        <v>0</v>
      </c>
      <c r="AS237" s="348">
        <f t="shared" ref="AS237:AS245" si="146">IF(AP237&lt;=AM237,0,AP237-AM237)</f>
        <v>0</v>
      </c>
      <c r="AT237" s="348" t="str">
        <f t="shared" si="128"/>
        <v/>
      </c>
      <c r="AU237" s="348" t="str">
        <f t="shared" si="129"/>
        <v/>
      </c>
      <c r="AV237" s="348">
        <f t="shared" si="130"/>
        <v>0</v>
      </c>
      <c r="AW237" s="348">
        <f t="shared" ref="AW237:AW245" si="147">IF($AP237&lt;=$AO237,0,IF($AO237&gt;=$AE$12,0,IF($AP237&lt;=$AE$12,$AP237-$AO237,$AE$12-$AO237)))</f>
        <v>0</v>
      </c>
      <c r="AX237" s="348">
        <f t="shared" ref="AX237:AX245" si="148">IF(AP237&lt;=AO237,0,AP237-AO237)</f>
        <v>0</v>
      </c>
      <c r="AY237" s="330">
        <f t="shared" ref="AY237:AY245" si="149">IF($AS237=0,0,IF(OR($AJ237=0,$AJ237=$E$22),$AJ$46/2,$AJ$46))</f>
        <v>0</v>
      </c>
      <c r="AZ237" s="330">
        <f t="shared" ref="AZ237:AZ245" si="150">IF(OR($AK237="Left Stream Bed",$AK237="Right Stream Bed"),$F$22*$AQ237*$AY237,0)</f>
        <v>0</v>
      </c>
      <c r="BA237" s="330">
        <f t="shared" ref="BA237:BA245" si="151">IF(OR($AK237="Left Stream Bed",$AK237="Right Stream Bed"),$F$22*$AR237*$AY237,0)</f>
        <v>0</v>
      </c>
      <c r="BB237" s="330">
        <f t="shared" ref="BB237:BB245" si="152">IF(OR($AK237="Left Floodplain",$AK237="Left Bank",$AK237="Right Bank",$AK237="Right Floodplain"),$F$22*$AQ237*$AY237,0)</f>
        <v>0</v>
      </c>
      <c r="BC237" s="330">
        <f t="shared" ref="BC237:BC245" si="153">IF(OR($AK237="Left Floodplain",$AK237="Left Bank",$AK237="Right Bank",$AK237="Right Floodplain"),$F$22*$AR237*$AY237,0)</f>
        <v>0</v>
      </c>
      <c r="BD237" s="330">
        <f t="shared" ref="BD237:BD245" si="154">AX237-AS237</f>
        <v>0</v>
      </c>
      <c r="BE237" s="330">
        <f t="shared" si="131"/>
        <v>0</v>
      </c>
      <c r="BF237" s="330">
        <f t="shared" ref="BF237:BF245" si="155">AV237-AQ237</f>
        <v>0</v>
      </c>
      <c r="BG237" s="330">
        <f t="shared" ref="BG237:BG245" si="156">IF(OR($AJ237=0,$AJ237=$E$22),($BF237*$AJ$46/2)*ABS($M$17),$BF237*$AJ$46*ABS($M$17))</f>
        <v>0</v>
      </c>
      <c r="BH237" s="330" t="str">
        <f t="shared" ref="BH237:BH245" si="157">IF(OR($AM237&lt;$AP237,$AO237&gt;$AE$8),"",IF(OR($AJ237=0,$AJ237=$E$22),$AJ$46/2,$AJ$46))</f>
        <v/>
      </c>
      <c r="BI237" s="330" t="str">
        <f t="shared" si="132"/>
        <v/>
      </c>
      <c r="BJ237" s="330" t="str">
        <f t="shared" si="133"/>
        <v/>
      </c>
      <c r="BK237" s="330" t="str">
        <f t="shared" ref="BK237:BK245" si="158">IF($BJ237="","",IF(OR($BJ237&gt;($F$22/2),$BJ237=0),0,0.45-($BJ237*0.45/($F$22/2))))</f>
        <v/>
      </c>
      <c r="BL237" s="330" t="str">
        <f t="shared" ref="BL237:BL245" si="159">IF($BK237="","",IF($BK237&gt;0,$AJ237,""))</f>
        <v/>
      </c>
      <c r="BM237" s="330" t="str">
        <f t="shared" si="134"/>
        <v/>
      </c>
      <c r="BN237" s="330" t="str">
        <f t="shared" si="138"/>
        <v/>
      </c>
      <c r="BO237" s="330">
        <f t="shared" ref="BO237:BO245" si="160">IF($AO237=0,0,IF($AO237&gt;$AP237,0,IF(OR($AJ237=0,$AJ237=$E$22),$AJ$46/2,$AJ$46)))</f>
        <v>0</v>
      </c>
      <c r="BP237" s="330">
        <f t="shared" ref="BP237:BP245" si="161">IF(AND($BO237&gt;0,OR($AK237="Left Stream Bed",$AK237="Right Stream Bed")),$BO237,0)</f>
        <v>0</v>
      </c>
      <c r="BQ237" s="330">
        <f t="shared" ref="BQ237:BQ245" si="162">IF(AND($BO237&gt;0,OR($AK237="Left Floodplain",$AK237="Left Bank",$AK237="Right Bank",$AK237="Right Floodplain")),$BO237,0)</f>
        <v>0</v>
      </c>
      <c r="BR237" s="330" t="str">
        <f t="shared" ref="BR237:BR245" si="163">IF($BO237&gt;0,$AJ237,"")</f>
        <v/>
      </c>
      <c r="BS237" s="432" t="str">
        <f t="shared" si="135"/>
        <v/>
      </c>
    </row>
    <row r="238" spans="1:71">
      <c r="A238" s="592"/>
      <c r="B238" s="592"/>
      <c r="C238" s="592"/>
      <c r="D238" s="592"/>
      <c r="E238" s="592"/>
      <c r="F238" s="592"/>
      <c r="G238" s="592"/>
      <c r="H238" s="592"/>
      <c r="I238" s="592"/>
      <c r="J238" s="592"/>
      <c r="AI238" s="364">
        <v>193</v>
      </c>
      <c r="AJ238" s="330">
        <f t="shared" si="141"/>
        <v>0</v>
      </c>
      <c r="AK238" s="344" t="str">
        <f t="shared" si="142"/>
        <v>None</v>
      </c>
      <c r="AL238" s="330">
        <f t="shared" ref="AL238:AL245" si="164">$AL$45+ABS(AJ238*$M$19*$M$17)</f>
        <v>0</v>
      </c>
      <c r="AM238" s="336">
        <f t="shared" si="136"/>
        <v>0</v>
      </c>
      <c r="AN238" s="330">
        <f t="shared" ref="AN238:AN245" si="165">$AN$45+ABS(AJ238*$M$19*$M$17)</f>
        <v>0</v>
      </c>
      <c r="AO238" s="437">
        <f t="shared" si="137"/>
        <v>0</v>
      </c>
      <c r="AP238" s="348" t="b">
        <f t="shared" si="143"/>
        <v>0</v>
      </c>
      <c r="AQ238" s="348">
        <f t="shared" si="144"/>
        <v>0</v>
      </c>
      <c r="AR238" s="348">
        <f t="shared" si="145"/>
        <v>0</v>
      </c>
      <c r="AS238" s="348">
        <f t="shared" si="146"/>
        <v>0</v>
      </c>
      <c r="AT238" s="348" t="str">
        <f t="shared" ref="AT238:AT245" si="166">IF(OR($AS238="",$AS238=0),"",IF(OR($AK238="Left Stream Bed",$AK238="Right Stream Bed"),$AS238,""))</f>
        <v/>
      </c>
      <c r="AU238" s="348" t="str">
        <f t="shared" ref="AU238:AU245" si="167">IF(OR($AS238="",$AS238=0),"",IF(OR($AK238="Left Floodplain",$AK238="Left Bank",$AK238="Right Bank",$AK238="Right Floodplain"),$AS238,""))</f>
        <v/>
      </c>
      <c r="AV238" s="348">
        <f t="shared" ref="AV238:AV245" si="168">IF(OR($AP238&lt;$AE$12,$AP238&lt;=$AO238),0,IF($AO238&gt;=$AE$12,$AP238-$AO238,$AP238-$AE$12))</f>
        <v>0</v>
      </c>
      <c r="AW238" s="348">
        <f t="shared" si="147"/>
        <v>0</v>
      </c>
      <c r="AX238" s="348">
        <f t="shared" si="148"/>
        <v>0</v>
      </c>
      <c r="AY238" s="330">
        <f t="shared" si="149"/>
        <v>0</v>
      </c>
      <c r="AZ238" s="330">
        <f t="shared" si="150"/>
        <v>0</v>
      </c>
      <c r="BA238" s="330">
        <f t="shared" si="151"/>
        <v>0</v>
      </c>
      <c r="BB238" s="330">
        <f t="shared" si="152"/>
        <v>0</v>
      </c>
      <c r="BC238" s="330">
        <f t="shared" si="153"/>
        <v>0</v>
      </c>
      <c r="BD238" s="330">
        <f t="shared" si="154"/>
        <v>0</v>
      </c>
      <c r="BE238" s="330">
        <f t="shared" ref="BE238:BE245" si="169">$BD238*$AJ$46*ABS($M$17)</f>
        <v>0</v>
      </c>
      <c r="BF238" s="330">
        <f t="shared" si="155"/>
        <v>0</v>
      </c>
      <c r="BG238" s="330">
        <f t="shared" si="156"/>
        <v>0</v>
      </c>
      <c r="BH238" s="330" t="str">
        <f t="shared" si="157"/>
        <v/>
      </c>
      <c r="BI238" s="330" t="str">
        <f t="shared" ref="BI238:BI245" si="170">IF($BH238="","",IF($BH238&gt;0,$AJ238,""))</f>
        <v/>
      </c>
      <c r="BJ238" s="330" t="str">
        <f t="shared" ref="BJ238:BJ245" si="171">IF($BH238="","",IF(OR(($AO238-$AP238)&lt;0,$AO$45&gt;=$AE$8),0,($AO238-$AP238)))</f>
        <v/>
      </c>
      <c r="BK238" s="330" t="str">
        <f t="shared" si="158"/>
        <v/>
      </c>
      <c r="BL238" s="330" t="str">
        <f t="shared" si="159"/>
        <v/>
      </c>
      <c r="BM238" s="330" t="str">
        <f t="shared" ref="BM238:BM245" si="172">IF($BH238="","",IF(OR(($AM238-$AP238)&lt;0,$AM238&gt;=$AE$8),"",($AE$8-($AM238-(($F$22/2)/$M$19)))))</f>
        <v/>
      </c>
      <c r="BN238" s="330" t="str">
        <f t="shared" si="138"/>
        <v/>
      </c>
      <c r="BO238" s="330">
        <f t="shared" si="160"/>
        <v>0</v>
      </c>
      <c r="BP238" s="330">
        <f t="shared" si="161"/>
        <v>0</v>
      </c>
      <c r="BQ238" s="330">
        <f t="shared" si="162"/>
        <v>0</v>
      </c>
      <c r="BR238" s="330" t="str">
        <f t="shared" si="163"/>
        <v/>
      </c>
      <c r="BS238" s="432" t="str">
        <f t="shared" ref="BS238:BS245" si="173">IF($AY238&gt;0,$AJ238,"")</f>
        <v/>
      </c>
    </row>
    <row r="239" spans="1:71">
      <c r="A239" s="592"/>
      <c r="B239" s="592"/>
      <c r="C239" s="592"/>
      <c r="D239" s="592"/>
      <c r="E239" s="592"/>
      <c r="F239" s="592"/>
      <c r="G239" s="592"/>
      <c r="H239" s="592"/>
      <c r="I239" s="592"/>
      <c r="J239" s="592"/>
      <c r="AI239" s="364">
        <v>194</v>
      </c>
      <c r="AJ239" s="330">
        <f t="shared" ref="AJ239:AJ243" si="174">($AI239/$AI$245)*$AJ$245</f>
        <v>0</v>
      </c>
      <c r="AK239" s="344" t="str">
        <f t="shared" si="142"/>
        <v>None</v>
      </c>
      <c r="AL239" s="330">
        <f t="shared" si="164"/>
        <v>0</v>
      </c>
      <c r="AM239" s="336">
        <f t="shared" ref="AM239:AM245" si="175">AM238+((AL239-AL238)*$AA$40)</f>
        <v>0</v>
      </c>
      <c r="AN239" s="330">
        <f t="shared" si="165"/>
        <v>0</v>
      </c>
      <c r="AO239" s="437">
        <f t="shared" ref="AO239:AO245" si="176">AO238+((AN239-AN238)*$AA$40)</f>
        <v>0</v>
      </c>
      <c r="AP239" s="348" t="b">
        <f t="shared" si="143"/>
        <v>0</v>
      </c>
      <c r="AQ239" s="348">
        <f t="shared" si="144"/>
        <v>0</v>
      </c>
      <c r="AR239" s="348">
        <f t="shared" si="145"/>
        <v>0</v>
      </c>
      <c r="AS239" s="348">
        <f t="shared" si="146"/>
        <v>0</v>
      </c>
      <c r="AT239" s="348" t="str">
        <f t="shared" si="166"/>
        <v/>
      </c>
      <c r="AU239" s="348" t="str">
        <f t="shared" si="167"/>
        <v/>
      </c>
      <c r="AV239" s="348">
        <f t="shared" si="168"/>
        <v>0</v>
      </c>
      <c r="AW239" s="348">
        <f t="shared" si="147"/>
        <v>0</v>
      </c>
      <c r="AX239" s="348">
        <f t="shared" si="148"/>
        <v>0</v>
      </c>
      <c r="AY239" s="330">
        <f t="shared" si="149"/>
        <v>0</v>
      </c>
      <c r="AZ239" s="330">
        <f t="shared" si="150"/>
        <v>0</v>
      </c>
      <c r="BA239" s="330">
        <f t="shared" si="151"/>
        <v>0</v>
      </c>
      <c r="BB239" s="330">
        <f t="shared" si="152"/>
        <v>0</v>
      </c>
      <c r="BC239" s="330">
        <f t="shared" si="153"/>
        <v>0</v>
      </c>
      <c r="BD239" s="330">
        <f t="shared" si="154"/>
        <v>0</v>
      </c>
      <c r="BE239" s="330">
        <f t="shared" si="169"/>
        <v>0</v>
      </c>
      <c r="BF239" s="330">
        <f t="shared" si="155"/>
        <v>0</v>
      </c>
      <c r="BG239" s="330">
        <f t="shared" si="156"/>
        <v>0</v>
      </c>
      <c r="BH239" s="330" t="str">
        <f t="shared" si="157"/>
        <v/>
      </c>
      <c r="BI239" s="330" t="str">
        <f t="shared" si="170"/>
        <v/>
      </c>
      <c r="BJ239" s="330" t="str">
        <f t="shared" si="171"/>
        <v/>
      </c>
      <c r="BK239" s="330" t="str">
        <f t="shared" si="158"/>
        <v/>
      </c>
      <c r="BL239" s="330" t="str">
        <f t="shared" si="159"/>
        <v/>
      </c>
      <c r="BM239" s="330" t="str">
        <f t="shared" si="172"/>
        <v/>
      </c>
      <c r="BN239" s="330" t="str">
        <f t="shared" ref="BN239:BN245" si="177">IF($BM239="","",(((PI()^2)/32)*($B$66^-6)*EXP(-($BM239/$F$22)/(2*($B$66^2)))))</f>
        <v/>
      </c>
      <c r="BO239" s="330">
        <f t="shared" si="160"/>
        <v>0</v>
      </c>
      <c r="BP239" s="330">
        <f t="shared" si="161"/>
        <v>0</v>
      </c>
      <c r="BQ239" s="330">
        <f t="shared" si="162"/>
        <v>0</v>
      </c>
      <c r="BR239" s="330" t="str">
        <f t="shared" si="163"/>
        <v/>
      </c>
      <c r="BS239" s="432" t="str">
        <f t="shared" si="173"/>
        <v/>
      </c>
    </row>
    <row r="240" spans="1:71">
      <c r="A240" s="592"/>
      <c r="B240" s="592"/>
      <c r="C240" s="592"/>
      <c r="D240" s="592"/>
      <c r="E240" s="592"/>
      <c r="F240" s="592"/>
      <c r="G240" s="592"/>
      <c r="H240" s="592"/>
      <c r="I240" s="592"/>
      <c r="J240" s="592"/>
      <c r="AI240" s="364">
        <v>195</v>
      </c>
      <c r="AJ240" s="330">
        <f t="shared" si="174"/>
        <v>0</v>
      </c>
      <c r="AK240" s="344" t="str">
        <f t="shared" si="142"/>
        <v>None</v>
      </c>
      <c r="AL240" s="330">
        <f t="shared" si="164"/>
        <v>0</v>
      </c>
      <c r="AM240" s="336">
        <f t="shared" si="175"/>
        <v>0</v>
      </c>
      <c r="AN240" s="330">
        <f t="shared" si="165"/>
        <v>0</v>
      </c>
      <c r="AO240" s="437">
        <f t="shared" si="176"/>
        <v>0</v>
      </c>
      <c r="AP240" s="348" t="b">
        <f t="shared" si="143"/>
        <v>0</v>
      </c>
      <c r="AQ240" s="348">
        <f t="shared" si="144"/>
        <v>0</v>
      </c>
      <c r="AR240" s="348">
        <f t="shared" si="145"/>
        <v>0</v>
      </c>
      <c r="AS240" s="348">
        <f t="shared" si="146"/>
        <v>0</v>
      </c>
      <c r="AT240" s="348" t="str">
        <f t="shared" si="166"/>
        <v/>
      </c>
      <c r="AU240" s="348" t="str">
        <f t="shared" si="167"/>
        <v/>
      </c>
      <c r="AV240" s="348">
        <f t="shared" si="168"/>
        <v>0</v>
      </c>
      <c r="AW240" s="348">
        <f t="shared" si="147"/>
        <v>0</v>
      </c>
      <c r="AX240" s="348">
        <f t="shared" si="148"/>
        <v>0</v>
      </c>
      <c r="AY240" s="330">
        <f t="shared" si="149"/>
        <v>0</v>
      </c>
      <c r="AZ240" s="330">
        <f t="shared" si="150"/>
        <v>0</v>
      </c>
      <c r="BA240" s="330">
        <f t="shared" si="151"/>
        <v>0</v>
      </c>
      <c r="BB240" s="330">
        <f t="shared" si="152"/>
        <v>0</v>
      </c>
      <c r="BC240" s="330">
        <f t="shared" si="153"/>
        <v>0</v>
      </c>
      <c r="BD240" s="330">
        <f t="shared" si="154"/>
        <v>0</v>
      </c>
      <c r="BE240" s="330">
        <f t="shared" si="169"/>
        <v>0</v>
      </c>
      <c r="BF240" s="330">
        <f t="shared" si="155"/>
        <v>0</v>
      </c>
      <c r="BG240" s="330">
        <f t="shared" si="156"/>
        <v>0</v>
      </c>
      <c r="BH240" s="330" t="str">
        <f t="shared" si="157"/>
        <v/>
      </c>
      <c r="BI240" s="330" t="str">
        <f t="shared" si="170"/>
        <v/>
      </c>
      <c r="BJ240" s="330" t="str">
        <f t="shared" si="171"/>
        <v/>
      </c>
      <c r="BK240" s="330" t="str">
        <f t="shared" si="158"/>
        <v/>
      </c>
      <c r="BL240" s="330" t="str">
        <f t="shared" si="159"/>
        <v/>
      </c>
      <c r="BM240" s="330" t="str">
        <f t="shared" si="172"/>
        <v/>
      </c>
      <c r="BN240" s="330" t="str">
        <f t="shared" si="177"/>
        <v/>
      </c>
      <c r="BO240" s="330">
        <f t="shared" si="160"/>
        <v>0</v>
      </c>
      <c r="BP240" s="330">
        <f t="shared" si="161"/>
        <v>0</v>
      </c>
      <c r="BQ240" s="330">
        <f t="shared" si="162"/>
        <v>0</v>
      </c>
      <c r="BR240" s="330" t="str">
        <f t="shared" si="163"/>
        <v/>
      </c>
      <c r="BS240" s="432" t="str">
        <f t="shared" si="173"/>
        <v/>
      </c>
    </row>
    <row r="241" spans="1:71">
      <c r="A241" s="592"/>
      <c r="B241" s="592"/>
      <c r="C241" s="592"/>
      <c r="D241" s="592"/>
      <c r="E241" s="592"/>
      <c r="F241" s="592"/>
      <c r="G241" s="592"/>
      <c r="H241" s="592"/>
      <c r="I241" s="592"/>
      <c r="J241" s="592"/>
      <c r="AI241" s="364">
        <v>196</v>
      </c>
      <c r="AJ241" s="330">
        <f t="shared" si="174"/>
        <v>0</v>
      </c>
      <c r="AK241" s="344" t="str">
        <f t="shared" si="142"/>
        <v>None</v>
      </c>
      <c r="AL241" s="330">
        <f t="shared" si="164"/>
        <v>0</v>
      </c>
      <c r="AM241" s="336">
        <f t="shared" si="175"/>
        <v>0</v>
      </c>
      <c r="AN241" s="330">
        <f t="shared" si="165"/>
        <v>0</v>
      </c>
      <c r="AO241" s="437">
        <f t="shared" si="176"/>
        <v>0</v>
      </c>
      <c r="AP241" s="348" t="b">
        <f t="shared" si="143"/>
        <v>0</v>
      </c>
      <c r="AQ241" s="348">
        <f t="shared" si="144"/>
        <v>0</v>
      </c>
      <c r="AR241" s="348">
        <f t="shared" si="145"/>
        <v>0</v>
      </c>
      <c r="AS241" s="348">
        <f t="shared" si="146"/>
        <v>0</v>
      </c>
      <c r="AT241" s="348" t="str">
        <f t="shared" si="166"/>
        <v/>
      </c>
      <c r="AU241" s="348" t="str">
        <f t="shared" si="167"/>
        <v/>
      </c>
      <c r="AV241" s="348">
        <f t="shared" si="168"/>
        <v>0</v>
      </c>
      <c r="AW241" s="348">
        <f t="shared" si="147"/>
        <v>0</v>
      </c>
      <c r="AX241" s="348">
        <f t="shared" si="148"/>
        <v>0</v>
      </c>
      <c r="AY241" s="330">
        <f t="shared" si="149"/>
        <v>0</v>
      </c>
      <c r="AZ241" s="330">
        <f t="shared" si="150"/>
        <v>0</v>
      </c>
      <c r="BA241" s="330">
        <f t="shared" si="151"/>
        <v>0</v>
      </c>
      <c r="BB241" s="330">
        <f t="shared" si="152"/>
        <v>0</v>
      </c>
      <c r="BC241" s="330">
        <f t="shared" si="153"/>
        <v>0</v>
      </c>
      <c r="BD241" s="330">
        <f t="shared" si="154"/>
        <v>0</v>
      </c>
      <c r="BE241" s="330">
        <f t="shared" si="169"/>
        <v>0</v>
      </c>
      <c r="BF241" s="330">
        <f t="shared" si="155"/>
        <v>0</v>
      </c>
      <c r="BG241" s="330">
        <f t="shared" si="156"/>
        <v>0</v>
      </c>
      <c r="BH241" s="330" t="str">
        <f t="shared" si="157"/>
        <v/>
      </c>
      <c r="BI241" s="330" t="str">
        <f t="shared" si="170"/>
        <v/>
      </c>
      <c r="BJ241" s="330" t="str">
        <f t="shared" si="171"/>
        <v/>
      </c>
      <c r="BK241" s="330" t="str">
        <f t="shared" si="158"/>
        <v/>
      </c>
      <c r="BL241" s="330" t="str">
        <f t="shared" si="159"/>
        <v/>
      </c>
      <c r="BM241" s="330" t="str">
        <f t="shared" si="172"/>
        <v/>
      </c>
      <c r="BN241" s="330" t="str">
        <f t="shared" si="177"/>
        <v/>
      </c>
      <c r="BO241" s="330">
        <f t="shared" si="160"/>
        <v>0</v>
      </c>
      <c r="BP241" s="330">
        <f t="shared" si="161"/>
        <v>0</v>
      </c>
      <c r="BQ241" s="330">
        <f t="shared" si="162"/>
        <v>0</v>
      </c>
      <c r="BR241" s="330" t="str">
        <f t="shared" si="163"/>
        <v/>
      </c>
      <c r="BS241" s="432" t="str">
        <f t="shared" si="173"/>
        <v/>
      </c>
    </row>
    <row r="242" spans="1:71">
      <c r="A242" s="592"/>
      <c r="B242" s="592"/>
      <c r="C242" s="592"/>
      <c r="D242" s="592"/>
      <c r="E242" s="592"/>
      <c r="F242" s="592"/>
      <c r="G242" s="592"/>
      <c r="H242" s="592"/>
      <c r="I242" s="592"/>
      <c r="J242" s="592"/>
      <c r="AI242" s="364">
        <v>197</v>
      </c>
      <c r="AJ242" s="330">
        <f t="shared" si="174"/>
        <v>0</v>
      </c>
      <c r="AK242" s="344" t="str">
        <f t="shared" si="142"/>
        <v>None</v>
      </c>
      <c r="AL242" s="330">
        <f t="shared" si="164"/>
        <v>0</v>
      </c>
      <c r="AM242" s="336">
        <f t="shared" si="175"/>
        <v>0</v>
      </c>
      <c r="AN242" s="330">
        <f t="shared" si="165"/>
        <v>0</v>
      </c>
      <c r="AO242" s="437">
        <f t="shared" si="176"/>
        <v>0</v>
      </c>
      <c r="AP242" s="348" t="b">
        <f t="shared" si="143"/>
        <v>0</v>
      </c>
      <c r="AQ242" s="348">
        <f t="shared" si="144"/>
        <v>0</v>
      </c>
      <c r="AR242" s="348">
        <f t="shared" si="145"/>
        <v>0</v>
      </c>
      <c r="AS242" s="348">
        <f t="shared" si="146"/>
        <v>0</v>
      </c>
      <c r="AT242" s="348" t="str">
        <f t="shared" si="166"/>
        <v/>
      </c>
      <c r="AU242" s="348" t="str">
        <f t="shared" si="167"/>
        <v/>
      </c>
      <c r="AV242" s="348">
        <f t="shared" si="168"/>
        <v>0</v>
      </c>
      <c r="AW242" s="348">
        <f t="shared" si="147"/>
        <v>0</v>
      </c>
      <c r="AX242" s="348">
        <f t="shared" si="148"/>
        <v>0</v>
      </c>
      <c r="AY242" s="330">
        <f t="shared" si="149"/>
        <v>0</v>
      </c>
      <c r="AZ242" s="330">
        <f t="shared" si="150"/>
        <v>0</v>
      </c>
      <c r="BA242" s="330">
        <f t="shared" si="151"/>
        <v>0</v>
      </c>
      <c r="BB242" s="330">
        <f t="shared" si="152"/>
        <v>0</v>
      </c>
      <c r="BC242" s="330">
        <f t="shared" si="153"/>
        <v>0</v>
      </c>
      <c r="BD242" s="330">
        <f t="shared" si="154"/>
        <v>0</v>
      </c>
      <c r="BE242" s="330">
        <f t="shared" si="169"/>
        <v>0</v>
      </c>
      <c r="BF242" s="330">
        <f t="shared" si="155"/>
        <v>0</v>
      </c>
      <c r="BG242" s="330">
        <f t="shared" si="156"/>
        <v>0</v>
      </c>
      <c r="BH242" s="330" t="str">
        <f t="shared" si="157"/>
        <v/>
      </c>
      <c r="BI242" s="330" t="str">
        <f t="shared" si="170"/>
        <v/>
      </c>
      <c r="BJ242" s="330" t="str">
        <f t="shared" si="171"/>
        <v/>
      </c>
      <c r="BK242" s="330" t="str">
        <f t="shared" si="158"/>
        <v/>
      </c>
      <c r="BL242" s="330" t="str">
        <f t="shared" si="159"/>
        <v/>
      </c>
      <c r="BM242" s="330" t="str">
        <f t="shared" si="172"/>
        <v/>
      </c>
      <c r="BN242" s="330" t="str">
        <f t="shared" si="177"/>
        <v/>
      </c>
      <c r="BO242" s="330">
        <f t="shared" si="160"/>
        <v>0</v>
      </c>
      <c r="BP242" s="330">
        <f t="shared" si="161"/>
        <v>0</v>
      </c>
      <c r="BQ242" s="330">
        <f t="shared" si="162"/>
        <v>0</v>
      </c>
      <c r="BR242" s="330" t="str">
        <f t="shared" si="163"/>
        <v/>
      </c>
      <c r="BS242" s="432" t="str">
        <f t="shared" si="173"/>
        <v/>
      </c>
    </row>
    <row r="243" spans="1:71">
      <c r="A243" s="592"/>
      <c r="B243" s="592"/>
      <c r="C243" s="592"/>
      <c r="D243" s="592"/>
      <c r="E243" s="592"/>
      <c r="F243" s="592"/>
      <c r="G243" s="592"/>
      <c r="H243" s="592"/>
      <c r="I243" s="592"/>
      <c r="J243" s="592"/>
      <c r="AI243" s="364">
        <v>198</v>
      </c>
      <c r="AJ243" s="330">
        <f t="shared" si="174"/>
        <v>0</v>
      </c>
      <c r="AK243" s="344" t="str">
        <f t="shared" si="142"/>
        <v>None</v>
      </c>
      <c r="AL243" s="330">
        <f t="shared" si="164"/>
        <v>0</v>
      </c>
      <c r="AM243" s="336">
        <f t="shared" si="175"/>
        <v>0</v>
      </c>
      <c r="AN243" s="330">
        <f t="shared" si="165"/>
        <v>0</v>
      </c>
      <c r="AO243" s="437">
        <f t="shared" si="176"/>
        <v>0</v>
      </c>
      <c r="AP243" s="348" t="b">
        <f t="shared" si="143"/>
        <v>0</v>
      </c>
      <c r="AQ243" s="348">
        <f t="shared" si="144"/>
        <v>0</v>
      </c>
      <c r="AR243" s="348">
        <f t="shared" si="145"/>
        <v>0</v>
      </c>
      <c r="AS243" s="348">
        <f t="shared" si="146"/>
        <v>0</v>
      </c>
      <c r="AT243" s="348" t="str">
        <f t="shared" si="166"/>
        <v/>
      </c>
      <c r="AU243" s="348" t="str">
        <f t="shared" si="167"/>
        <v/>
      </c>
      <c r="AV243" s="348">
        <f t="shared" si="168"/>
        <v>0</v>
      </c>
      <c r="AW243" s="348">
        <f t="shared" si="147"/>
        <v>0</v>
      </c>
      <c r="AX243" s="348">
        <f t="shared" si="148"/>
        <v>0</v>
      </c>
      <c r="AY243" s="330">
        <f t="shared" si="149"/>
        <v>0</v>
      </c>
      <c r="AZ243" s="330">
        <f t="shared" si="150"/>
        <v>0</v>
      </c>
      <c r="BA243" s="330">
        <f t="shared" si="151"/>
        <v>0</v>
      </c>
      <c r="BB243" s="330">
        <f t="shared" si="152"/>
        <v>0</v>
      </c>
      <c r="BC243" s="330">
        <f t="shared" si="153"/>
        <v>0</v>
      </c>
      <c r="BD243" s="330">
        <f t="shared" si="154"/>
        <v>0</v>
      </c>
      <c r="BE243" s="330">
        <f t="shared" si="169"/>
        <v>0</v>
      </c>
      <c r="BF243" s="330">
        <f t="shared" si="155"/>
        <v>0</v>
      </c>
      <c r="BG243" s="330">
        <f t="shared" si="156"/>
        <v>0</v>
      </c>
      <c r="BH243" s="330" t="str">
        <f t="shared" si="157"/>
        <v/>
      </c>
      <c r="BI243" s="330" t="str">
        <f t="shared" si="170"/>
        <v/>
      </c>
      <c r="BJ243" s="330" t="str">
        <f t="shared" si="171"/>
        <v/>
      </c>
      <c r="BK243" s="330" t="str">
        <f t="shared" si="158"/>
        <v/>
      </c>
      <c r="BL243" s="330" t="str">
        <f t="shared" si="159"/>
        <v/>
      </c>
      <c r="BM243" s="330" t="str">
        <f t="shared" si="172"/>
        <v/>
      </c>
      <c r="BN243" s="330" t="str">
        <f t="shared" si="177"/>
        <v/>
      </c>
      <c r="BO243" s="330">
        <f t="shared" si="160"/>
        <v>0</v>
      </c>
      <c r="BP243" s="330">
        <f t="shared" si="161"/>
        <v>0</v>
      </c>
      <c r="BQ243" s="330">
        <f t="shared" si="162"/>
        <v>0</v>
      </c>
      <c r="BR243" s="330" t="str">
        <f t="shared" si="163"/>
        <v/>
      </c>
      <c r="BS243" s="432" t="str">
        <f t="shared" si="173"/>
        <v/>
      </c>
    </row>
    <row r="244" spans="1:71">
      <c r="A244" s="592"/>
      <c r="B244" s="592"/>
      <c r="C244" s="592"/>
      <c r="D244" s="592"/>
      <c r="E244" s="592"/>
      <c r="F244" s="592"/>
      <c r="G244" s="592"/>
      <c r="H244" s="592"/>
      <c r="I244" s="592"/>
      <c r="J244" s="592"/>
      <c r="AI244" s="364">
        <v>199</v>
      </c>
      <c r="AJ244" s="330">
        <f>($AI244/$AI$245)*$AJ$245</f>
        <v>0</v>
      </c>
      <c r="AK244" s="344" t="str">
        <f t="shared" si="142"/>
        <v>None</v>
      </c>
      <c r="AL244" s="330">
        <f t="shared" si="164"/>
        <v>0</v>
      </c>
      <c r="AM244" s="336">
        <f t="shared" si="175"/>
        <v>0</v>
      </c>
      <c r="AN244" s="330">
        <f t="shared" si="165"/>
        <v>0</v>
      </c>
      <c r="AO244" s="437">
        <f t="shared" si="176"/>
        <v>0</v>
      </c>
      <c r="AP244" s="348" t="b">
        <f t="shared" si="143"/>
        <v>0</v>
      </c>
      <c r="AQ244" s="348">
        <f t="shared" si="144"/>
        <v>0</v>
      </c>
      <c r="AR244" s="348">
        <f t="shared" si="145"/>
        <v>0</v>
      </c>
      <c r="AS244" s="348">
        <f t="shared" si="146"/>
        <v>0</v>
      </c>
      <c r="AT244" s="348" t="str">
        <f t="shared" si="166"/>
        <v/>
      </c>
      <c r="AU244" s="348" t="str">
        <f t="shared" si="167"/>
        <v/>
      </c>
      <c r="AV244" s="348">
        <f t="shared" si="168"/>
        <v>0</v>
      </c>
      <c r="AW244" s="348">
        <f t="shared" si="147"/>
        <v>0</v>
      </c>
      <c r="AX244" s="348">
        <f t="shared" si="148"/>
        <v>0</v>
      </c>
      <c r="AY244" s="330">
        <f t="shared" si="149"/>
        <v>0</v>
      </c>
      <c r="AZ244" s="330">
        <f t="shared" si="150"/>
        <v>0</v>
      </c>
      <c r="BA244" s="330">
        <f t="shared" si="151"/>
        <v>0</v>
      </c>
      <c r="BB244" s="330">
        <f t="shared" si="152"/>
        <v>0</v>
      </c>
      <c r="BC244" s="330">
        <f t="shared" si="153"/>
        <v>0</v>
      </c>
      <c r="BD244" s="330">
        <f t="shared" si="154"/>
        <v>0</v>
      </c>
      <c r="BE244" s="330">
        <f t="shared" si="169"/>
        <v>0</v>
      </c>
      <c r="BF244" s="330">
        <f t="shared" si="155"/>
        <v>0</v>
      </c>
      <c r="BG244" s="330">
        <f t="shared" si="156"/>
        <v>0</v>
      </c>
      <c r="BH244" s="330" t="str">
        <f t="shared" si="157"/>
        <v/>
      </c>
      <c r="BI244" s="330" t="str">
        <f t="shared" si="170"/>
        <v/>
      </c>
      <c r="BJ244" s="330" t="str">
        <f t="shared" si="171"/>
        <v/>
      </c>
      <c r="BK244" s="330" t="str">
        <f t="shared" si="158"/>
        <v/>
      </c>
      <c r="BL244" s="330" t="str">
        <f t="shared" si="159"/>
        <v/>
      </c>
      <c r="BM244" s="330" t="str">
        <f t="shared" si="172"/>
        <v/>
      </c>
      <c r="BN244" s="330" t="str">
        <f t="shared" si="177"/>
        <v/>
      </c>
      <c r="BO244" s="330">
        <f t="shared" si="160"/>
        <v>0</v>
      </c>
      <c r="BP244" s="330">
        <f t="shared" si="161"/>
        <v>0</v>
      </c>
      <c r="BQ244" s="330">
        <f t="shared" si="162"/>
        <v>0</v>
      </c>
      <c r="BR244" s="330" t="str">
        <f t="shared" si="163"/>
        <v/>
      </c>
      <c r="BS244" s="432" t="str">
        <f t="shared" si="173"/>
        <v/>
      </c>
    </row>
    <row r="245" spans="1:71" ht="13.5" thickBot="1">
      <c r="A245" s="592"/>
      <c r="B245" s="592"/>
      <c r="C245" s="592"/>
      <c r="D245" s="592"/>
      <c r="E245" s="592"/>
      <c r="F245" s="592"/>
      <c r="G245" s="592"/>
      <c r="H245" s="592"/>
      <c r="I245" s="592"/>
      <c r="J245" s="592"/>
      <c r="AI245" s="365">
        <v>200</v>
      </c>
      <c r="AJ245" s="355">
        <f>$E$22</f>
        <v>0</v>
      </c>
      <c r="AK245" s="409" t="str">
        <f t="shared" si="142"/>
        <v>None</v>
      </c>
      <c r="AL245" s="433">
        <f t="shared" si="164"/>
        <v>0</v>
      </c>
      <c r="AM245" s="351">
        <f t="shared" si="175"/>
        <v>0</v>
      </c>
      <c r="AN245" s="433">
        <f t="shared" si="165"/>
        <v>0</v>
      </c>
      <c r="AO245" s="438">
        <f t="shared" si="176"/>
        <v>0</v>
      </c>
      <c r="AP245" s="355" t="b">
        <f t="shared" si="143"/>
        <v>0</v>
      </c>
      <c r="AQ245" s="355">
        <f t="shared" si="144"/>
        <v>0</v>
      </c>
      <c r="AR245" s="355">
        <f t="shared" si="145"/>
        <v>0</v>
      </c>
      <c r="AS245" s="355">
        <f t="shared" si="146"/>
        <v>0</v>
      </c>
      <c r="AT245" s="355" t="str">
        <f t="shared" si="166"/>
        <v/>
      </c>
      <c r="AU245" s="355" t="str">
        <f t="shared" si="167"/>
        <v/>
      </c>
      <c r="AV245" s="355">
        <f t="shared" si="168"/>
        <v>0</v>
      </c>
      <c r="AW245" s="355">
        <f t="shared" si="147"/>
        <v>0</v>
      </c>
      <c r="AX245" s="355">
        <f t="shared" si="148"/>
        <v>0</v>
      </c>
      <c r="AY245" s="433">
        <f t="shared" si="149"/>
        <v>0</v>
      </c>
      <c r="AZ245" s="433">
        <f t="shared" si="150"/>
        <v>0</v>
      </c>
      <c r="BA245" s="433">
        <f t="shared" si="151"/>
        <v>0</v>
      </c>
      <c r="BB245" s="433">
        <f t="shared" si="152"/>
        <v>0</v>
      </c>
      <c r="BC245" s="433">
        <f t="shared" si="153"/>
        <v>0</v>
      </c>
      <c r="BD245" s="433">
        <f t="shared" si="154"/>
        <v>0</v>
      </c>
      <c r="BE245" s="433">
        <f t="shared" si="169"/>
        <v>0</v>
      </c>
      <c r="BF245" s="433">
        <f t="shared" si="155"/>
        <v>0</v>
      </c>
      <c r="BG245" s="433">
        <f t="shared" si="156"/>
        <v>0</v>
      </c>
      <c r="BH245" s="433" t="str">
        <f t="shared" si="157"/>
        <v/>
      </c>
      <c r="BI245" s="433" t="str">
        <f t="shared" si="170"/>
        <v/>
      </c>
      <c r="BJ245" s="433" t="str">
        <f t="shared" si="171"/>
        <v/>
      </c>
      <c r="BK245" s="433" t="str">
        <f t="shared" si="158"/>
        <v/>
      </c>
      <c r="BL245" s="433" t="str">
        <f t="shared" si="159"/>
        <v/>
      </c>
      <c r="BM245" s="433" t="str">
        <f t="shared" si="172"/>
        <v/>
      </c>
      <c r="BN245" s="433" t="str">
        <f t="shared" si="177"/>
        <v/>
      </c>
      <c r="BO245" s="433">
        <f t="shared" si="160"/>
        <v>0</v>
      </c>
      <c r="BP245" s="433">
        <f t="shared" si="161"/>
        <v>0</v>
      </c>
      <c r="BQ245" s="433">
        <f t="shared" si="162"/>
        <v>0</v>
      </c>
      <c r="BR245" s="433" t="str">
        <f t="shared" si="163"/>
        <v/>
      </c>
      <c r="BS245" s="376" t="str">
        <f t="shared" si="173"/>
        <v/>
      </c>
    </row>
    <row r="246" spans="1:71">
      <c r="A246" s="592"/>
      <c r="B246" s="592"/>
      <c r="C246" s="592"/>
      <c r="D246" s="592"/>
      <c r="E246" s="592"/>
      <c r="F246" s="592"/>
      <c r="G246" s="592"/>
      <c r="H246" s="592"/>
      <c r="I246" s="592"/>
      <c r="J246" s="592"/>
    </row>
    <row r="247" spans="1:71">
      <c r="A247" s="592"/>
      <c r="B247" s="592"/>
      <c r="C247" s="592"/>
      <c r="D247" s="592"/>
      <c r="E247" s="592"/>
      <c r="F247" s="592"/>
      <c r="G247" s="592"/>
      <c r="H247" s="592"/>
      <c r="I247" s="592"/>
      <c r="J247" s="592"/>
    </row>
    <row r="248" spans="1:71">
      <c r="A248" s="592"/>
      <c r="B248" s="592"/>
      <c r="C248" s="592"/>
      <c r="D248" s="592"/>
      <c r="E248" s="592"/>
      <c r="F248" s="592"/>
      <c r="G248" s="592"/>
      <c r="H248" s="592"/>
      <c r="I248" s="592"/>
      <c r="J248" s="592"/>
    </row>
    <row r="249" spans="1:71">
      <c r="A249" s="592"/>
      <c r="B249" s="592"/>
      <c r="C249" s="592"/>
      <c r="D249" s="592"/>
      <c r="E249" s="592"/>
      <c r="F249" s="592"/>
      <c r="G249" s="592"/>
      <c r="H249" s="592"/>
      <c r="I249" s="592"/>
      <c r="J249" s="592"/>
    </row>
    <row r="250" spans="1:71">
      <c r="A250" s="592"/>
      <c r="B250" s="592"/>
      <c r="C250" s="592"/>
      <c r="D250" s="592"/>
      <c r="E250" s="592"/>
      <c r="F250" s="592"/>
      <c r="G250" s="592"/>
      <c r="H250" s="592"/>
      <c r="I250" s="592"/>
      <c r="J250" s="592"/>
    </row>
    <row r="251" spans="1:71">
      <c r="A251" s="592"/>
      <c r="B251" s="592"/>
      <c r="C251" s="592"/>
      <c r="D251" s="592"/>
      <c r="E251" s="592"/>
      <c r="F251" s="592"/>
      <c r="G251" s="592"/>
      <c r="H251" s="592"/>
      <c r="I251" s="592"/>
      <c r="J251" s="592"/>
    </row>
    <row r="252" spans="1:71">
      <c r="A252" s="592"/>
      <c r="B252" s="592"/>
      <c r="C252" s="592"/>
      <c r="D252" s="592"/>
      <c r="E252" s="592"/>
      <c r="F252" s="592"/>
      <c r="G252" s="592"/>
      <c r="H252" s="592"/>
      <c r="I252" s="592"/>
      <c r="J252" s="592"/>
    </row>
    <row r="253" spans="1:71">
      <c r="A253" s="592"/>
      <c r="B253" s="592"/>
      <c r="C253" s="592"/>
      <c r="D253" s="592"/>
      <c r="E253" s="592"/>
      <c r="F253" s="592"/>
      <c r="G253" s="592"/>
      <c r="H253" s="592"/>
      <c r="I253" s="592"/>
      <c r="J253" s="592"/>
    </row>
    <row r="254" spans="1:71">
      <c r="A254" s="592"/>
      <c r="B254" s="592"/>
      <c r="C254" s="592"/>
      <c r="D254" s="592"/>
      <c r="E254" s="592"/>
      <c r="F254" s="592"/>
      <c r="G254" s="592"/>
      <c r="H254" s="592"/>
      <c r="I254" s="592"/>
      <c r="J254" s="592"/>
    </row>
    <row r="255" spans="1:71">
      <c r="A255" s="592"/>
      <c r="B255" s="592"/>
      <c r="C255" s="592"/>
      <c r="D255" s="592"/>
      <c r="E255" s="592"/>
      <c r="F255" s="592"/>
      <c r="G255" s="592"/>
      <c r="H255" s="592"/>
      <c r="I255" s="592"/>
      <c r="J255" s="592"/>
    </row>
    <row r="256" spans="1:71">
      <c r="A256" s="592"/>
      <c r="B256" s="592"/>
      <c r="C256" s="592"/>
      <c r="D256" s="592"/>
      <c r="E256" s="592"/>
      <c r="F256" s="592"/>
      <c r="G256" s="592"/>
      <c r="H256" s="592"/>
      <c r="I256" s="592"/>
      <c r="J256" s="592"/>
    </row>
    <row r="257" spans="1:10">
      <c r="A257" s="592"/>
      <c r="B257" s="592"/>
      <c r="C257" s="592"/>
      <c r="D257" s="592"/>
      <c r="E257" s="592"/>
      <c r="F257" s="592"/>
      <c r="G257" s="592"/>
      <c r="H257" s="592"/>
      <c r="I257" s="592"/>
      <c r="J257" s="592"/>
    </row>
    <row r="258" spans="1:10">
      <c r="A258" s="592"/>
      <c r="B258" s="592"/>
      <c r="C258" s="592"/>
      <c r="D258" s="592"/>
      <c r="E258" s="592"/>
      <c r="F258" s="592"/>
      <c r="G258" s="592"/>
      <c r="H258" s="592"/>
      <c r="I258" s="592"/>
      <c r="J258" s="592"/>
    </row>
    <row r="259" spans="1:10">
      <c r="A259" s="592"/>
      <c r="B259" s="592"/>
      <c r="C259" s="592"/>
      <c r="D259" s="592"/>
      <c r="E259" s="592"/>
      <c r="F259" s="592"/>
      <c r="G259" s="592"/>
      <c r="H259" s="592"/>
      <c r="I259" s="592"/>
      <c r="J259" s="592"/>
    </row>
    <row r="260" spans="1:10">
      <c r="A260" s="592"/>
      <c r="B260" s="592"/>
      <c r="C260" s="592"/>
      <c r="D260" s="592"/>
      <c r="E260" s="592"/>
      <c r="F260" s="592"/>
      <c r="G260" s="592"/>
      <c r="H260" s="592"/>
      <c r="I260" s="592"/>
      <c r="J260" s="592"/>
    </row>
    <row r="261" spans="1:10">
      <c r="A261" s="592"/>
      <c r="B261" s="592"/>
      <c r="C261" s="592"/>
      <c r="D261" s="592"/>
      <c r="E261" s="592"/>
      <c r="F261" s="592"/>
      <c r="G261" s="592"/>
      <c r="H261" s="592"/>
      <c r="I261" s="592"/>
      <c r="J261" s="592"/>
    </row>
    <row r="262" spans="1:10">
      <c r="A262" s="592"/>
      <c r="B262" s="592"/>
      <c r="C262" s="592"/>
      <c r="D262" s="592"/>
      <c r="E262" s="592"/>
      <c r="F262" s="592"/>
      <c r="G262" s="592"/>
      <c r="H262" s="592"/>
      <c r="I262" s="592"/>
      <c r="J262" s="592"/>
    </row>
    <row r="263" spans="1:10">
      <c r="A263" s="592"/>
      <c r="B263" s="592"/>
      <c r="C263" s="592"/>
      <c r="D263" s="592"/>
      <c r="E263" s="592"/>
      <c r="F263" s="592"/>
      <c r="G263" s="592"/>
      <c r="H263" s="592"/>
      <c r="I263" s="592"/>
      <c r="J263" s="592"/>
    </row>
    <row r="264" spans="1:10">
      <c r="A264" s="592"/>
      <c r="B264" s="592"/>
      <c r="C264" s="592"/>
      <c r="D264" s="592"/>
      <c r="E264" s="592"/>
      <c r="F264" s="592"/>
      <c r="G264" s="592"/>
      <c r="H264" s="592"/>
      <c r="I264" s="592"/>
      <c r="J264" s="592"/>
    </row>
    <row r="265" spans="1:10">
      <c r="A265" s="592"/>
      <c r="B265" s="592"/>
      <c r="C265" s="592"/>
      <c r="D265" s="592"/>
      <c r="E265" s="592"/>
      <c r="F265" s="592"/>
      <c r="G265" s="592"/>
      <c r="H265" s="592"/>
      <c r="I265" s="592"/>
      <c r="J265" s="592"/>
    </row>
    <row r="266" spans="1:10">
      <c r="A266" s="592"/>
      <c r="B266" s="592"/>
      <c r="C266" s="592"/>
      <c r="D266" s="592"/>
      <c r="E266" s="592"/>
      <c r="F266" s="592"/>
      <c r="G266" s="592"/>
      <c r="H266" s="592"/>
      <c r="I266" s="592"/>
      <c r="J266" s="592"/>
    </row>
    <row r="267" spans="1:10">
      <c r="A267" s="592"/>
      <c r="B267" s="592"/>
      <c r="C267" s="592"/>
      <c r="D267" s="592"/>
      <c r="E267" s="592"/>
      <c r="F267" s="592"/>
      <c r="G267" s="592"/>
      <c r="H267" s="592"/>
      <c r="I267" s="592"/>
      <c r="J267" s="592"/>
    </row>
    <row r="268" spans="1:10">
      <c r="A268" s="592"/>
      <c r="B268" s="592"/>
      <c r="C268" s="592"/>
      <c r="D268" s="592"/>
      <c r="E268" s="592"/>
      <c r="F268" s="592"/>
      <c r="G268" s="592"/>
      <c r="H268" s="592"/>
      <c r="I268" s="592"/>
      <c r="J268" s="592"/>
    </row>
    <row r="269" spans="1:10">
      <c r="A269" s="592"/>
      <c r="B269" s="592"/>
      <c r="C269" s="592"/>
      <c r="D269" s="592"/>
      <c r="E269" s="592"/>
      <c r="F269" s="592"/>
      <c r="G269" s="592"/>
      <c r="H269" s="592"/>
      <c r="I269" s="592"/>
      <c r="J269" s="592"/>
    </row>
    <row r="270" spans="1:10">
      <c r="A270" s="592"/>
      <c r="B270" s="592"/>
      <c r="C270" s="592"/>
      <c r="D270" s="592"/>
      <c r="E270" s="592"/>
      <c r="F270" s="592"/>
      <c r="G270" s="592"/>
      <c r="H270" s="592"/>
      <c r="I270" s="592"/>
      <c r="J270" s="592"/>
    </row>
    <row r="271" spans="1:10">
      <c r="A271" s="592"/>
      <c r="B271" s="592"/>
      <c r="C271" s="592"/>
      <c r="D271" s="592"/>
      <c r="E271" s="592"/>
      <c r="F271" s="592"/>
      <c r="G271" s="592"/>
      <c r="H271" s="592"/>
      <c r="I271" s="592"/>
      <c r="J271" s="592"/>
    </row>
    <row r="272" spans="1:10">
      <c r="A272" s="592"/>
      <c r="B272" s="592"/>
      <c r="C272" s="592"/>
      <c r="D272" s="592"/>
      <c r="E272" s="592"/>
      <c r="F272" s="592"/>
      <c r="G272" s="592"/>
      <c r="H272" s="592"/>
      <c r="I272" s="592"/>
      <c r="J272" s="592"/>
    </row>
    <row r="273" spans="1:10">
      <c r="A273" s="592"/>
      <c r="B273" s="592"/>
      <c r="C273" s="592"/>
      <c r="D273" s="592"/>
      <c r="E273" s="592"/>
      <c r="F273" s="592"/>
      <c r="G273" s="592"/>
      <c r="H273" s="592"/>
      <c r="I273" s="592"/>
      <c r="J273" s="592"/>
    </row>
    <row r="274" spans="1:10">
      <c r="A274" s="592"/>
      <c r="B274" s="592"/>
      <c r="C274" s="592"/>
      <c r="D274" s="592"/>
      <c r="E274" s="592"/>
      <c r="F274" s="592"/>
      <c r="G274" s="592"/>
      <c r="H274" s="592"/>
      <c r="I274" s="592"/>
      <c r="J274" s="592"/>
    </row>
    <row r="275" spans="1:10">
      <c r="A275" s="592"/>
      <c r="B275" s="592"/>
      <c r="C275" s="592"/>
      <c r="D275" s="592"/>
      <c r="E275" s="592"/>
      <c r="F275" s="592"/>
      <c r="G275" s="592"/>
      <c r="H275" s="592"/>
      <c r="I275" s="592"/>
      <c r="J275" s="592"/>
    </row>
    <row r="276" spans="1:10">
      <c r="A276" s="592"/>
      <c r="B276" s="592"/>
      <c r="C276" s="592"/>
      <c r="D276" s="592"/>
      <c r="E276" s="592"/>
      <c r="F276" s="592"/>
      <c r="G276" s="592"/>
      <c r="H276" s="592"/>
      <c r="I276" s="592"/>
      <c r="J276" s="592"/>
    </row>
    <row r="277" spans="1:10">
      <c r="A277" s="592"/>
      <c r="B277" s="592"/>
      <c r="C277" s="592"/>
      <c r="D277" s="592"/>
      <c r="E277" s="592"/>
      <c r="F277" s="592"/>
      <c r="G277" s="592"/>
      <c r="H277" s="592"/>
      <c r="I277" s="592"/>
      <c r="J277" s="592"/>
    </row>
    <row r="278" spans="1:10">
      <c r="A278" s="592"/>
      <c r="B278" s="592"/>
      <c r="C278" s="592"/>
      <c r="D278" s="592"/>
      <c r="E278" s="592"/>
      <c r="F278" s="592"/>
      <c r="G278" s="592"/>
      <c r="H278" s="592"/>
      <c r="I278" s="592"/>
      <c r="J278" s="592"/>
    </row>
    <row r="279" spans="1:10">
      <c r="A279" s="592"/>
      <c r="B279" s="592"/>
      <c r="C279" s="592"/>
      <c r="D279" s="592"/>
      <c r="E279" s="592"/>
      <c r="F279" s="592"/>
      <c r="G279" s="592"/>
      <c r="H279" s="592"/>
      <c r="I279" s="592"/>
      <c r="J279" s="592"/>
    </row>
    <row r="280" spans="1:10">
      <c r="A280" s="592"/>
      <c r="B280" s="592"/>
      <c r="C280" s="592"/>
      <c r="D280" s="592"/>
      <c r="E280" s="592"/>
      <c r="F280" s="592"/>
      <c r="G280" s="592"/>
      <c r="H280" s="592"/>
      <c r="I280" s="592"/>
      <c r="J280" s="592"/>
    </row>
    <row r="281" spans="1:10">
      <c r="A281" s="592"/>
      <c r="B281" s="592"/>
      <c r="C281" s="592"/>
      <c r="D281" s="592"/>
      <c r="E281" s="592"/>
      <c r="F281" s="592"/>
      <c r="G281" s="592"/>
      <c r="H281" s="592"/>
      <c r="I281" s="592"/>
      <c r="J281" s="592"/>
    </row>
    <row r="282" spans="1:10">
      <c r="A282" s="592"/>
      <c r="B282" s="592"/>
      <c r="C282" s="592"/>
      <c r="D282" s="592"/>
      <c r="E282" s="592"/>
      <c r="F282" s="592"/>
      <c r="G282" s="592"/>
      <c r="H282" s="592"/>
      <c r="I282" s="592"/>
      <c r="J282" s="592"/>
    </row>
    <row r="283" spans="1:10">
      <c r="A283" s="592"/>
      <c r="B283" s="592"/>
      <c r="C283" s="592"/>
      <c r="D283" s="592"/>
      <c r="E283" s="592"/>
      <c r="F283" s="592"/>
      <c r="G283" s="592"/>
      <c r="H283" s="592"/>
      <c r="I283" s="592"/>
      <c r="J283" s="592"/>
    </row>
    <row r="284" spans="1:10">
      <c r="A284" s="592"/>
      <c r="B284" s="592"/>
      <c r="C284" s="592"/>
      <c r="D284" s="592"/>
      <c r="E284" s="592"/>
      <c r="F284" s="592"/>
      <c r="G284" s="592"/>
      <c r="H284" s="592"/>
      <c r="I284" s="592"/>
      <c r="J284" s="592"/>
    </row>
    <row r="285" spans="1:10">
      <c r="A285" s="592"/>
      <c r="B285" s="592"/>
      <c r="C285" s="592"/>
      <c r="D285" s="592"/>
      <c r="E285" s="592"/>
      <c r="F285" s="592"/>
      <c r="G285" s="592"/>
      <c r="H285" s="592"/>
      <c r="I285" s="592"/>
      <c r="J285" s="592"/>
    </row>
    <row r="286" spans="1:10">
      <c r="A286" s="592"/>
      <c r="B286" s="592"/>
      <c r="C286" s="592"/>
      <c r="D286" s="592"/>
      <c r="E286" s="592"/>
      <c r="F286" s="592"/>
      <c r="G286" s="592"/>
      <c r="H286" s="592"/>
      <c r="I286" s="592"/>
      <c r="J286" s="592"/>
    </row>
    <row r="287" spans="1:10">
      <c r="A287" s="592"/>
      <c r="B287" s="592"/>
      <c r="C287" s="592"/>
      <c r="D287" s="592"/>
      <c r="E287" s="592"/>
      <c r="F287" s="592"/>
      <c r="G287" s="592"/>
      <c r="H287" s="592"/>
      <c r="I287" s="592"/>
      <c r="J287" s="592"/>
    </row>
    <row r="288" spans="1:10">
      <c r="A288" s="592"/>
      <c r="B288" s="592"/>
      <c r="C288" s="592"/>
      <c r="D288" s="592"/>
      <c r="E288" s="592"/>
      <c r="F288" s="592"/>
      <c r="G288" s="592"/>
      <c r="H288" s="592"/>
      <c r="I288" s="592"/>
      <c r="J288" s="592"/>
    </row>
    <row r="289" spans="1:10">
      <c r="A289" s="592"/>
      <c r="B289" s="592"/>
      <c r="C289" s="592"/>
      <c r="D289" s="592"/>
      <c r="E289" s="592"/>
      <c r="F289" s="592"/>
      <c r="G289" s="592"/>
      <c r="H289" s="592"/>
      <c r="I289" s="592"/>
      <c r="J289" s="592"/>
    </row>
    <row r="290" spans="1:10">
      <c r="A290" s="592"/>
      <c r="B290" s="592"/>
      <c r="C290" s="592"/>
      <c r="D290" s="592"/>
      <c r="E290" s="592"/>
      <c r="F290" s="592"/>
      <c r="G290" s="592"/>
      <c r="H290" s="592"/>
      <c r="I290" s="592"/>
      <c r="J290" s="592"/>
    </row>
    <row r="291" spans="1:10">
      <c r="A291" s="592"/>
      <c r="B291" s="592"/>
      <c r="C291" s="592"/>
      <c r="D291" s="592"/>
      <c r="E291" s="592"/>
      <c r="F291" s="592"/>
      <c r="G291" s="592"/>
      <c r="H291" s="592"/>
      <c r="I291" s="592"/>
      <c r="J291" s="592"/>
    </row>
    <row r="292" spans="1:10">
      <c r="A292" s="592"/>
      <c r="B292" s="592"/>
      <c r="C292" s="592"/>
      <c r="D292" s="592"/>
      <c r="E292" s="592"/>
      <c r="F292" s="592"/>
      <c r="G292" s="592"/>
      <c r="H292" s="592"/>
      <c r="I292" s="592"/>
      <c r="J292" s="592"/>
    </row>
    <row r="293" spans="1:10">
      <c r="A293" s="592"/>
      <c r="B293" s="592"/>
      <c r="C293" s="592"/>
      <c r="D293" s="592"/>
      <c r="E293" s="592"/>
      <c r="F293" s="592"/>
      <c r="G293" s="592"/>
      <c r="H293" s="592"/>
      <c r="I293" s="592"/>
      <c r="J293" s="592"/>
    </row>
    <row r="294" spans="1:10">
      <c r="A294" s="592"/>
      <c r="B294" s="592"/>
      <c r="C294" s="592"/>
      <c r="D294" s="592"/>
      <c r="E294" s="592"/>
      <c r="F294" s="592"/>
      <c r="G294" s="592"/>
      <c r="H294" s="592"/>
      <c r="I294" s="592"/>
      <c r="J294" s="592"/>
    </row>
    <row r="295" spans="1:10">
      <c r="A295" s="592"/>
      <c r="B295" s="592"/>
      <c r="C295" s="592"/>
      <c r="D295" s="592"/>
      <c r="E295" s="592"/>
      <c r="F295" s="592"/>
      <c r="G295" s="592"/>
      <c r="H295" s="592"/>
      <c r="I295" s="592"/>
      <c r="J295" s="592"/>
    </row>
    <row r="296" spans="1:10">
      <c r="A296" s="592"/>
      <c r="B296" s="592"/>
      <c r="C296" s="592"/>
      <c r="D296" s="592"/>
      <c r="E296" s="592"/>
      <c r="F296" s="592"/>
      <c r="G296" s="592"/>
      <c r="H296" s="592"/>
      <c r="I296" s="592"/>
      <c r="J296" s="592"/>
    </row>
    <row r="297" spans="1:10">
      <c r="A297" s="592"/>
      <c r="B297" s="592"/>
      <c r="C297" s="592"/>
      <c r="D297" s="592"/>
      <c r="E297" s="592"/>
      <c r="F297" s="592"/>
      <c r="G297" s="592"/>
      <c r="H297" s="592"/>
      <c r="I297" s="592"/>
      <c r="J297" s="592"/>
    </row>
    <row r="298" spans="1:10">
      <c r="A298" s="592"/>
      <c r="B298" s="592"/>
      <c r="C298" s="592"/>
      <c r="D298" s="592"/>
      <c r="E298" s="592"/>
      <c r="F298" s="592"/>
      <c r="G298" s="592"/>
      <c r="H298" s="592"/>
      <c r="I298" s="592"/>
      <c r="J298" s="592"/>
    </row>
    <row r="299" spans="1:10">
      <c r="A299" s="592"/>
      <c r="B299" s="592"/>
      <c r="C299" s="592"/>
      <c r="D299" s="592"/>
      <c r="E299" s="592"/>
      <c r="F299" s="592"/>
      <c r="G299" s="592"/>
      <c r="H299" s="592"/>
      <c r="I299" s="592"/>
      <c r="J299" s="592"/>
    </row>
    <row r="300" spans="1:10">
      <c r="A300" s="592"/>
      <c r="B300" s="592"/>
      <c r="C300" s="592"/>
      <c r="D300" s="592"/>
      <c r="E300" s="592"/>
      <c r="F300" s="592"/>
      <c r="G300" s="592"/>
      <c r="H300" s="592"/>
      <c r="I300" s="592"/>
      <c r="J300" s="592"/>
    </row>
    <row r="301" spans="1:10">
      <c r="A301" s="592"/>
      <c r="B301" s="592"/>
      <c r="C301" s="592"/>
      <c r="D301" s="592"/>
      <c r="E301" s="592"/>
      <c r="F301" s="592"/>
      <c r="G301" s="592"/>
      <c r="H301" s="592"/>
      <c r="I301" s="592"/>
      <c r="J301" s="592"/>
    </row>
    <row r="302" spans="1:10">
      <c r="A302" s="592"/>
      <c r="B302" s="592"/>
      <c r="C302" s="592"/>
      <c r="D302" s="592"/>
      <c r="E302" s="592"/>
      <c r="F302" s="592"/>
      <c r="G302" s="592"/>
      <c r="H302" s="592"/>
      <c r="I302" s="592"/>
      <c r="J302" s="592"/>
    </row>
    <row r="303" spans="1:10">
      <c r="A303" s="592"/>
      <c r="B303" s="592"/>
      <c r="C303" s="592"/>
      <c r="D303" s="592"/>
      <c r="E303" s="592"/>
      <c r="F303" s="592"/>
      <c r="G303" s="592"/>
      <c r="H303" s="592"/>
      <c r="I303" s="592"/>
      <c r="J303" s="592"/>
    </row>
    <row r="304" spans="1:10">
      <c r="A304" s="592"/>
      <c r="B304" s="592"/>
      <c r="C304" s="592"/>
      <c r="D304" s="592"/>
      <c r="E304" s="592"/>
      <c r="F304" s="592"/>
      <c r="G304" s="592"/>
      <c r="H304" s="592"/>
      <c r="I304" s="592"/>
      <c r="J304" s="592"/>
    </row>
    <row r="305" spans="1:10">
      <c r="A305" s="592"/>
      <c r="B305" s="592"/>
      <c r="C305" s="592"/>
      <c r="D305" s="592"/>
      <c r="E305" s="592"/>
      <c r="F305" s="592"/>
      <c r="G305" s="592"/>
      <c r="H305" s="592"/>
      <c r="I305" s="592"/>
      <c r="J305" s="592"/>
    </row>
    <row r="306" spans="1:10">
      <c r="A306" s="592"/>
      <c r="B306" s="592"/>
      <c r="C306" s="592"/>
      <c r="D306" s="592"/>
      <c r="E306" s="592"/>
      <c r="F306" s="592"/>
      <c r="G306" s="592"/>
      <c r="H306" s="592"/>
      <c r="I306" s="592"/>
      <c r="J306" s="592"/>
    </row>
    <row r="307" spans="1:10">
      <c r="A307" s="592"/>
      <c r="B307" s="592"/>
      <c r="C307" s="592"/>
      <c r="D307" s="592"/>
      <c r="E307" s="592"/>
      <c r="F307" s="592"/>
      <c r="G307" s="592"/>
      <c r="H307" s="592"/>
      <c r="I307" s="592"/>
      <c r="J307" s="592"/>
    </row>
    <row r="308" spans="1:10">
      <c r="A308" s="592"/>
      <c r="B308" s="592"/>
      <c r="C308" s="592"/>
      <c r="D308" s="592"/>
      <c r="E308" s="592"/>
      <c r="F308" s="592"/>
      <c r="G308" s="592"/>
      <c r="H308" s="592"/>
      <c r="I308" s="592"/>
      <c r="J308" s="592"/>
    </row>
    <row r="309" spans="1:10">
      <c r="A309" s="592"/>
      <c r="B309" s="592"/>
      <c r="C309" s="592"/>
      <c r="D309" s="592"/>
      <c r="E309" s="592"/>
      <c r="F309" s="592"/>
      <c r="G309" s="592"/>
      <c r="H309" s="592"/>
      <c r="I309" s="592"/>
      <c r="J309" s="592"/>
    </row>
    <row r="310" spans="1:10">
      <c r="A310" s="592"/>
      <c r="B310" s="592"/>
      <c r="C310" s="592"/>
      <c r="D310" s="592"/>
      <c r="E310" s="592"/>
      <c r="F310" s="592"/>
      <c r="G310" s="592"/>
      <c r="H310" s="592"/>
      <c r="I310" s="592"/>
      <c r="J310" s="592"/>
    </row>
    <row r="311" spans="1:10">
      <c r="A311" s="592"/>
      <c r="B311" s="592"/>
      <c r="C311" s="592"/>
      <c r="D311" s="592"/>
      <c r="E311" s="592"/>
      <c r="F311" s="592"/>
      <c r="G311" s="592"/>
      <c r="H311" s="592"/>
      <c r="I311" s="592"/>
      <c r="J311" s="592"/>
    </row>
    <row r="312" spans="1:10">
      <c r="A312" s="592"/>
      <c r="B312" s="592"/>
      <c r="C312" s="592"/>
      <c r="D312" s="592"/>
      <c r="E312" s="592"/>
      <c r="F312" s="592"/>
      <c r="G312" s="592"/>
      <c r="H312" s="592"/>
      <c r="I312" s="592"/>
      <c r="J312" s="592"/>
    </row>
    <row r="313" spans="1:10">
      <c r="A313" s="592"/>
      <c r="B313" s="592"/>
      <c r="C313" s="592"/>
      <c r="D313" s="592"/>
      <c r="E313" s="592"/>
      <c r="F313" s="592"/>
      <c r="G313" s="592"/>
      <c r="H313" s="592"/>
      <c r="I313" s="592"/>
      <c r="J313" s="592"/>
    </row>
    <row r="314" spans="1:10">
      <c r="A314" s="592"/>
      <c r="B314" s="592"/>
      <c r="C314" s="592"/>
      <c r="D314" s="592"/>
      <c r="E314" s="592"/>
      <c r="F314" s="592"/>
      <c r="G314" s="592"/>
      <c r="H314" s="592"/>
      <c r="I314" s="592"/>
      <c r="J314" s="592"/>
    </row>
    <row r="315" spans="1:10">
      <c r="A315" s="592"/>
      <c r="B315" s="592"/>
      <c r="C315" s="592"/>
      <c r="D315" s="592"/>
      <c r="E315" s="592"/>
      <c r="F315" s="592"/>
      <c r="G315" s="592"/>
      <c r="H315" s="592"/>
      <c r="I315" s="592"/>
      <c r="J315" s="592"/>
    </row>
    <row r="316" spans="1:10">
      <c r="A316" s="592"/>
      <c r="B316" s="592"/>
      <c r="C316" s="592"/>
      <c r="D316" s="592"/>
      <c r="E316" s="592"/>
      <c r="F316" s="592"/>
      <c r="G316" s="592"/>
      <c r="H316" s="592"/>
      <c r="I316" s="592"/>
      <c r="J316" s="592"/>
    </row>
    <row r="317" spans="1:10">
      <c r="A317" s="592"/>
      <c r="B317" s="592"/>
      <c r="C317" s="592"/>
      <c r="D317" s="592"/>
      <c r="E317" s="592"/>
      <c r="F317" s="592"/>
      <c r="G317" s="592"/>
      <c r="H317" s="592"/>
      <c r="I317" s="592"/>
      <c r="J317" s="592"/>
    </row>
    <row r="318" spans="1:10">
      <c r="A318" s="592"/>
      <c r="B318" s="592"/>
      <c r="C318" s="592"/>
      <c r="D318" s="592"/>
      <c r="E318" s="592"/>
      <c r="F318" s="592"/>
      <c r="G318" s="592"/>
      <c r="H318" s="592"/>
      <c r="I318" s="592"/>
      <c r="J318" s="592"/>
    </row>
    <row r="319" spans="1:10">
      <c r="A319" s="592"/>
      <c r="B319" s="592"/>
      <c r="C319" s="592"/>
      <c r="D319" s="592"/>
      <c r="E319" s="592"/>
      <c r="F319" s="592"/>
      <c r="G319" s="592"/>
      <c r="H319" s="592"/>
      <c r="I319" s="592"/>
      <c r="J319" s="592"/>
    </row>
    <row r="320" spans="1:10">
      <c r="A320" s="592"/>
      <c r="B320" s="592"/>
      <c r="C320" s="592"/>
      <c r="D320" s="592"/>
      <c r="E320" s="592"/>
      <c r="F320" s="592"/>
      <c r="G320" s="592"/>
      <c r="H320" s="592"/>
      <c r="I320" s="592"/>
      <c r="J320" s="592"/>
    </row>
    <row r="321" spans="1:10">
      <c r="A321" s="592"/>
      <c r="B321" s="592"/>
      <c r="C321" s="592"/>
      <c r="D321" s="592"/>
      <c r="E321" s="592"/>
      <c r="F321" s="592"/>
      <c r="G321" s="592"/>
      <c r="H321" s="592"/>
      <c r="I321" s="592"/>
      <c r="J321" s="592"/>
    </row>
    <row r="322" spans="1:10">
      <c r="A322" s="592"/>
      <c r="B322" s="592"/>
      <c r="C322" s="592"/>
      <c r="D322" s="592"/>
      <c r="E322" s="592"/>
      <c r="F322" s="592"/>
      <c r="G322" s="592"/>
      <c r="H322" s="592"/>
      <c r="I322" s="592"/>
      <c r="J322" s="592"/>
    </row>
    <row r="323" spans="1:10">
      <c r="A323" s="592"/>
      <c r="B323" s="592"/>
      <c r="C323" s="592"/>
      <c r="D323" s="592"/>
      <c r="E323" s="592"/>
      <c r="F323" s="592"/>
      <c r="G323" s="592"/>
      <c r="H323" s="592"/>
      <c r="I323" s="592"/>
      <c r="J323" s="592"/>
    </row>
    <row r="324" spans="1:10">
      <c r="A324" s="592"/>
      <c r="B324" s="592"/>
      <c r="C324" s="592"/>
      <c r="D324" s="592"/>
      <c r="E324" s="592"/>
      <c r="F324" s="592"/>
      <c r="G324" s="592"/>
      <c r="H324" s="592"/>
      <c r="I324" s="592"/>
      <c r="J324" s="592"/>
    </row>
    <row r="325" spans="1:10">
      <c r="A325" s="592"/>
      <c r="B325" s="592"/>
      <c r="C325" s="592"/>
      <c r="D325" s="592"/>
      <c r="E325" s="592"/>
      <c r="F325" s="592"/>
      <c r="G325" s="592"/>
      <c r="H325" s="592"/>
      <c r="I325" s="592"/>
      <c r="J325" s="592"/>
    </row>
    <row r="326" spans="1:10">
      <c r="A326" s="592"/>
      <c r="B326" s="592"/>
      <c r="C326" s="592"/>
      <c r="D326" s="592"/>
      <c r="E326" s="592"/>
      <c r="F326" s="592"/>
      <c r="G326" s="592"/>
      <c r="H326" s="592"/>
      <c r="I326" s="592"/>
      <c r="J326" s="592"/>
    </row>
    <row r="327" spans="1:10">
      <c r="A327" s="592"/>
      <c r="B327" s="592"/>
      <c r="C327" s="592"/>
      <c r="D327" s="592"/>
      <c r="E327" s="592"/>
      <c r="F327" s="592"/>
      <c r="G327" s="592"/>
      <c r="H327" s="592"/>
      <c r="I327" s="592"/>
      <c r="J327" s="592"/>
    </row>
    <row r="328" spans="1:10">
      <c r="A328" s="592"/>
      <c r="B328" s="592"/>
      <c r="C328" s="592"/>
      <c r="D328" s="592"/>
      <c r="E328" s="592"/>
      <c r="F328" s="592"/>
      <c r="G328" s="592"/>
      <c r="H328" s="592"/>
      <c r="I328" s="592"/>
      <c r="J328" s="592"/>
    </row>
    <row r="329" spans="1:10">
      <c r="A329" s="592"/>
      <c r="B329" s="592"/>
      <c r="C329" s="592"/>
      <c r="D329" s="592"/>
      <c r="E329" s="592"/>
      <c r="F329" s="592"/>
      <c r="G329" s="592"/>
      <c r="H329" s="592"/>
      <c r="I329" s="592"/>
      <c r="J329" s="592"/>
    </row>
    <row r="330" spans="1:10">
      <c r="A330" s="592"/>
      <c r="B330" s="592"/>
      <c r="C330" s="592"/>
      <c r="D330" s="592"/>
      <c r="E330" s="592"/>
      <c r="F330" s="592"/>
      <c r="G330" s="592"/>
      <c r="H330" s="592"/>
      <c r="I330" s="592"/>
      <c r="J330" s="592"/>
    </row>
    <row r="331" spans="1:10">
      <c r="A331" s="592"/>
      <c r="B331" s="592"/>
      <c r="C331" s="592"/>
      <c r="D331" s="592"/>
      <c r="E331" s="592"/>
      <c r="F331" s="592"/>
      <c r="G331" s="592"/>
      <c r="H331" s="592"/>
      <c r="I331" s="592"/>
      <c r="J331" s="592"/>
    </row>
    <row r="332" spans="1:10">
      <c r="A332" s="592"/>
      <c r="B332" s="592"/>
      <c r="C332" s="592"/>
      <c r="D332" s="592"/>
      <c r="E332" s="592"/>
      <c r="F332" s="592"/>
      <c r="G332" s="592"/>
      <c r="H332" s="592"/>
      <c r="I332" s="592"/>
      <c r="J332" s="592"/>
    </row>
    <row r="333" spans="1:10">
      <c r="A333" s="592"/>
      <c r="B333" s="592"/>
      <c r="C333" s="592"/>
      <c r="D333" s="592"/>
      <c r="E333" s="592"/>
      <c r="F333" s="592"/>
      <c r="G333" s="592"/>
      <c r="H333" s="592"/>
      <c r="I333" s="592"/>
      <c r="J333" s="592"/>
    </row>
    <row r="334" spans="1:10">
      <c r="A334" s="592"/>
      <c r="B334" s="592"/>
      <c r="C334" s="592"/>
      <c r="D334" s="592"/>
      <c r="E334" s="592"/>
      <c r="F334" s="592"/>
      <c r="G334" s="592"/>
      <c r="H334" s="592"/>
      <c r="I334" s="592"/>
      <c r="J334" s="592"/>
    </row>
    <row r="335" spans="1:10">
      <c r="A335" s="592"/>
      <c r="B335" s="592"/>
      <c r="C335" s="592"/>
      <c r="D335" s="592"/>
      <c r="E335" s="592"/>
      <c r="F335" s="592"/>
      <c r="G335" s="592"/>
      <c r="H335" s="592"/>
      <c r="I335" s="592"/>
      <c r="J335" s="592"/>
    </row>
    <row r="336" spans="1:10">
      <c r="A336" s="592"/>
      <c r="B336" s="592"/>
      <c r="C336" s="592"/>
      <c r="D336" s="592"/>
      <c r="E336" s="592"/>
      <c r="F336" s="592"/>
      <c r="G336" s="592"/>
      <c r="H336" s="592"/>
      <c r="I336" s="592"/>
      <c r="J336" s="592"/>
    </row>
    <row r="337" spans="1:10">
      <c r="A337" s="592"/>
      <c r="B337" s="592"/>
      <c r="C337" s="592"/>
      <c r="D337" s="592"/>
      <c r="E337" s="592"/>
      <c r="F337" s="592"/>
      <c r="G337" s="592"/>
      <c r="H337" s="592"/>
      <c r="I337" s="592"/>
      <c r="J337" s="592"/>
    </row>
    <row r="338" spans="1:10">
      <c r="A338" s="592"/>
      <c r="B338" s="592"/>
      <c r="C338" s="592"/>
      <c r="D338" s="592"/>
      <c r="E338" s="592"/>
      <c r="F338" s="592"/>
      <c r="G338" s="592"/>
      <c r="H338" s="592"/>
      <c r="I338" s="592"/>
      <c r="J338" s="592"/>
    </row>
    <row r="339" spans="1:10">
      <c r="A339" s="592"/>
      <c r="B339" s="592"/>
      <c r="C339" s="592"/>
      <c r="D339" s="592"/>
      <c r="E339" s="592"/>
      <c r="F339" s="592"/>
      <c r="G339" s="592"/>
      <c r="H339" s="592"/>
      <c r="I339" s="592"/>
      <c r="J339" s="592"/>
    </row>
    <row r="340" spans="1:10">
      <c r="A340" s="592"/>
      <c r="B340" s="592"/>
      <c r="C340" s="592"/>
      <c r="D340" s="592"/>
      <c r="E340" s="592"/>
      <c r="F340" s="592"/>
      <c r="G340" s="592"/>
      <c r="H340" s="592"/>
      <c r="I340" s="592"/>
      <c r="J340" s="592"/>
    </row>
    <row r="341" spans="1:10">
      <c r="A341" s="592"/>
      <c r="B341" s="592"/>
      <c r="C341" s="592"/>
      <c r="D341" s="592"/>
      <c r="E341" s="592"/>
      <c r="F341" s="592"/>
      <c r="G341" s="592"/>
      <c r="H341" s="592"/>
      <c r="I341" s="592"/>
      <c r="J341" s="592"/>
    </row>
    <row r="342" spans="1:10">
      <c r="A342" s="592"/>
      <c r="B342" s="592"/>
      <c r="C342" s="592"/>
      <c r="D342" s="592"/>
      <c r="E342" s="592"/>
      <c r="F342" s="592"/>
      <c r="G342" s="592"/>
      <c r="H342" s="592"/>
      <c r="I342" s="592"/>
      <c r="J342" s="592"/>
    </row>
    <row r="343" spans="1:10">
      <c r="A343" s="592"/>
      <c r="B343" s="592"/>
      <c r="C343" s="592"/>
      <c r="D343" s="592"/>
      <c r="E343" s="592"/>
      <c r="F343" s="592"/>
      <c r="G343" s="592"/>
      <c r="H343" s="592"/>
      <c r="I343" s="592"/>
      <c r="J343" s="592"/>
    </row>
    <row r="344" spans="1:10">
      <c r="A344" s="592"/>
      <c r="B344" s="592"/>
      <c r="C344" s="592"/>
      <c r="D344" s="592"/>
      <c r="E344" s="592"/>
      <c r="F344" s="592"/>
      <c r="G344" s="592"/>
      <c r="H344" s="592"/>
      <c r="I344" s="592"/>
      <c r="J344" s="592"/>
    </row>
    <row r="345" spans="1:10">
      <c r="A345" s="592"/>
      <c r="B345" s="592"/>
      <c r="C345" s="592"/>
      <c r="D345" s="592"/>
      <c r="E345" s="592"/>
      <c r="F345" s="592"/>
      <c r="G345" s="592"/>
      <c r="H345" s="592"/>
      <c r="I345" s="592"/>
      <c r="J345" s="592"/>
    </row>
    <row r="346" spans="1:10">
      <c r="A346" s="592"/>
      <c r="B346" s="592"/>
      <c r="C346" s="592"/>
      <c r="D346" s="592"/>
      <c r="E346" s="592"/>
      <c r="F346" s="592"/>
      <c r="G346" s="592"/>
      <c r="H346" s="592"/>
      <c r="I346" s="592"/>
      <c r="J346" s="592"/>
    </row>
    <row r="347" spans="1:10">
      <c r="A347" s="592"/>
      <c r="B347" s="592"/>
      <c r="C347" s="592"/>
      <c r="D347" s="592"/>
      <c r="E347" s="592"/>
      <c r="F347" s="592"/>
      <c r="G347" s="592"/>
      <c r="H347" s="592"/>
      <c r="I347" s="592"/>
      <c r="J347" s="592"/>
    </row>
    <row r="348" spans="1:10">
      <c r="A348" s="592"/>
      <c r="B348" s="592"/>
      <c r="C348" s="592"/>
      <c r="D348" s="592"/>
      <c r="E348" s="592"/>
      <c r="F348" s="592"/>
      <c r="G348" s="592"/>
      <c r="H348" s="592"/>
      <c r="I348" s="592"/>
      <c r="J348" s="592"/>
    </row>
    <row r="349" spans="1:10">
      <c r="A349" s="592"/>
      <c r="B349" s="592"/>
      <c r="C349" s="592"/>
      <c r="D349" s="592"/>
      <c r="E349" s="592"/>
      <c r="F349" s="592"/>
      <c r="G349" s="592"/>
      <c r="H349" s="592"/>
      <c r="I349" s="592"/>
      <c r="J349" s="592"/>
    </row>
    <row r="350" spans="1:10">
      <c r="A350" s="592"/>
      <c r="B350" s="592"/>
      <c r="C350" s="592"/>
      <c r="D350" s="592"/>
      <c r="E350" s="592"/>
      <c r="F350" s="592"/>
      <c r="G350" s="592"/>
      <c r="H350" s="592"/>
      <c r="I350" s="592"/>
      <c r="J350" s="592"/>
    </row>
    <row r="351" spans="1:10">
      <c r="A351" s="592"/>
      <c r="B351" s="592"/>
      <c r="C351" s="592"/>
      <c r="D351" s="592"/>
      <c r="E351" s="592"/>
      <c r="F351" s="592"/>
      <c r="G351" s="592"/>
      <c r="H351" s="592"/>
      <c r="I351" s="592"/>
      <c r="J351" s="592"/>
    </row>
    <row r="352" spans="1:10">
      <c r="A352" s="592"/>
      <c r="B352" s="592"/>
      <c r="C352" s="592"/>
      <c r="D352" s="592"/>
      <c r="E352" s="592"/>
      <c r="F352" s="592"/>
      <c r="G352" s="592"/>
      <c r="H352" s="592"/>
      <c r="I352" s="592"/>
      <c r="J352" s="592"/>
    </row>
    <row r="353" spans="1:10">
      <c r="A353" s="592"/>
      <c r="B353" s="592"/>
      <c r="C353" s="592"/>
      <c r="D353" s="592"/>
      <c r="E353" s="592"/>
      <c r="F353" s="592"/>
      <c r="G353" s="592"/>
      <c r="H353" s="592"/>
      <c r="I353" s="592"/>
      <c r="J353" s="592"/>
    </row>
    <row r="354" spans="1:10">
      <c r="A354" s="592"/>
      <c r="B354" s="592"/>
      <c r="C354" s="592"/>
      <c r="D354" s="592"/>
      <c r="E354" s="592"/>
      <c r="F354" s="592"/>
      <c r="G354" s="592"/>
      <c r="H354" s="592"/>
      <c r="I354" s="592"/>
      <c r="J354" s="592"/>
    </row>
    <row r="355" spans="1:10">
      <c r="A355" s="592"/>
      <c r="B355" s="592"/>
      <c r="C355" s="592"/>
      <c r="D355" s="592"/>
      <c r="E355" s="592"/>
      <c r="F355" s="592"/>
      <c r="G355" s="592"/>
      <c r="H355" s="592"/>
      <c r="I355" s="592"/>
      <c r="J355" s="592"/>
    </row>
    <row r="356" spans="1:10">
      <c r="A356" s="592"/>
      <c r="B356" s="592"/>
      <c r="C356" s="592"/>
      <c r="D356" s="592"/>
      <c r="E356" s="592"/>
      <c r="F356" s="592"/>
      <c r="G356" s="592"/>
      <c r="H356" s="592"/>
      <c r="I356" s="592"/>
      <c r="J356" s="592"/>
    </row>
    <row r="357" spans="1:10">
      <c r="A357" s="592"/>
      <c r="B357" s="592"/>
      <c r="C357" s="592"/>
      <c r="D357" s="592"/>
      <c r="E357" s="592"/>
      <c r="F357" s="592"/>
      <c r="G357" s="592"/>
      <c r="H357" s="592"/>
      <c r="I357" s="592"/>
      <c r="J357" s="592"/>
    </row>
    <row r="358" spans="1:10">
      <c r="A358" s="592"/>
      <c r="B358" s="592"/>
      <c r="C358" s="592"/>
      <c r="D358" s="592"/>
      <c r="E358" s="592"/>
      <c r="F358" s="592"/>
      <c r="G358" s="592"/>
      <c r="H358" s="592"/>
      <c r="I358" s="592"/>
      <c r="J358" s="592"/>
    </row>
    <row r="359" spans="1:10">
      <c r="A359" s="592"/>
      <c r="B359" s="592"/>
      <c r="C359" s="592"/>
      <c r="D359" s="592"/>
      <c r="E359" s="592"/>
      <c r="F359" s="592"/>
      <c r="G359" s="592"/>
      <c r="H359" s="592"/>
      <c r="I359" s="592"/>
      <c r="J359" s="592"/>
    </row>
    <row r="360" spans="1:10">
      <c r="A360" s="592"/>
      <c r="B360" s="592"/>
      <c r="C360" s="592"/>
      <c r="D360" s="592"/>
      <c r="E360" s="592"/>
      <c r="F360" s="592"/>
      <c r="G360" s="592"/>
      <c r="H360" s="592"/>
      <c r="I360" s="592"/>
      <c r="J360" s="592"/>
    </row>
    <row r="361" spans="1:10">
      <c r="A361" s="592"/>
      <c r="B361" s="592"/>
      <c r="C361" s="592"/>
      <c r="D361" s="592"/>
      <c r="E361" s="592"/>
      <c r="F361" s="592"/>
      <c r="G361" s="592"/>
      <c r="H361" s="592"/>
      <c r="I361" s="592"/>
      <c r="J361" s="592"/>
    </row>
    <row r="362" spans="1:10">
      <c r="A362" s="592"/>
      <c r="B362" s="592"/>
      <c r="C362" s="592"/>
      <c r="D362" s="592"/>
      <c r="E362" s="592"/>
      <c r="F362" s="592"/>
      <c r="G362" s="592"/>
      <c r="H362" s="592"/>
      <c r="I362" s="592"/>
      <c r="J362" s="592"/>
    </row>
    <row r="363" spans="1:10">
      <c r="A363" s="592"/>
      <c r="B363" s="592"/>
      <c r="C363" s="592"/>
      <c r="D363" s="592"/>
      <c r="E363" s="592"/>
      <c r="F363" s="592"/>
      <c r="G363" s="592"/>
      <c r="H363" s="592"/>
      <c r="I363" s="592"/>
      <c r="J363" s="592"/>
    </row>
    <row r="364" spans="1:10">
      <c r="A364" s="592"/>
      <c r="B364" s="592"/>
      <c r="C364" s="592"/>
      <c r="D364" s="592"/>
      <c r="E364" s="592"/>
      <c r="F364" s="592"/>
      <c r="G364" s="592"/>
      <c r="H364" s="592"/>
      <c r="I364" s="592"/>
      <c r="J364" s="592"/>
    </row>
    <row r="365" spans="1:10">
      <c r="A365" s="592"/>
      <c r="B365" s="592"/>
      <c r="C365" s="592"/>
      <c r="D365" s="592"/>
      <c r="E365" s="592"/>
      <c r="F365" s="592"/>
      <c r="G365" s="592"/>
      <c r="H365" s="592"/>
      <c r="I365" s="592"/>
      <c r="J365" s="592"/>
    </row>
    <row r="366" spans="1:10">
      <c r="A366" s="592"/>
      <c r="B366" s="592"/>
      <c r="C366" s="592"/>
      <c r="D366" s="592"/>
      <c r="E366" s="592"/>
      <c r="F366" s="592"/>
      <c r="G366" s="592"/>
      <c r="H366" s="592"/>
      <c r="I366" s="592"/>
      <c r="J366" s="592"/>
    </row>
    <row r="367" spans="1:10">
      <c r="A367" s="592"/>
      <c r="B367" s="592"/>
      <c r="C367" s="592"/>
      <c r="D367" s="592"/>
      <c r="E367" s="592"/>
      <c r="F367" s="592"/>
      <c r="G367" s="592"/>
      <c r="H367" s="592"/>
      <c r="I367" s="592"/>
      <c r="J367" s="592"/>
    </row>
    <row r="368" spans="1:10">
      <c r="A368" s="592"/>
      <c r="B368" s="592"/>
      <c r="C368" s="592"/>
      <c r="D368" s="592"/>
      <c r="E368" s="592"/>
      <c r="F368" s="592"/>
      <c r="G368" s="592"/>
      <c r="H368" s="592"/>
      <c r="I368" s="592"/>
      <c r="J368" s="592"/>
    </row>
    <row r="369" spans="1:10">
      <c r="A369" s="592"/>
      <c r="B369" s="592"/>
      <c r="C369" s="592"/>
      <c r="D369" s="592"/>
      <c r="E369" s="592"/>
      <c r="F369" s="592"/>
      <c r="G369" s="592"/>
      <c r="H369" s="592"/>
      <c r="I369" s="592"/>
      <c r="J369" s="592"/>
    </row>
    <row r="370" spans="1:10">
      <c r="A370" s="592"/>
      <c r="B370" s="592"/>
      <c r="C370" s="592"/>
      <c r="D370" s="592"/>
      <c r="E370" s="592"/>
      <c r="F370" s="592"/>
      <c r="G370" s="592"/>
      <c r="H370" s="592"/>
      <c r="I370" s="592"/>
      <c r="J370" s="592"/>
    </row>
    <row r="371" spans="1:10">
      <c r="A371" s="592"/>
      <c r="B371" s="592"/>
      <c r="C371" s="592"/>
      <c r="D371" s="592"/>
      <c r="E371" s="592"/>
      <c r="F371" s="592"/>
      <c r="G371" s="592"/>
      <c r="H371" s="592"/>
      <c r="I371" s="592"/>
      <c r="J371" s="592"/>
    </row>
    <row r="372" spans="1:10">
      <c r="A372" s="592"/>
      <c r="B372" s="592"/>
      <c r="C372" s="592"/>
      <c r="D372" s="592"/>
      <c r="E372" s="592"/>
      <c r="F372" s="592"/>
      <c r="G372" s="592"/>
      <c r="H372" s="592"/>
      <c r="I372" s="592"/>
      <c r="J372" s="592"/>
    </row>
    <row r="373" spans="1:10">
      <c r="A373" s="592"/>
      <c r="B373" s="592"/>
      <c r="C373" s="592"/>
      <c r="D373" s="592"/>
      <c r="E373" s="592"/>
      <c r="F373" s="592"/>
      <c r="G373" s="592"/>
      <c r="H373" s="592"/>
      <c r="I373" s="592"/>
      <c r="J373" s="592"/>
    </row>
    <row r="374" spans="1:10">
      <c r="A374" s="592"/>
      <c r="B374" s="592"/>
      <c r="C374" s="592"/>
      <c r="D374" s="592"/>
      <c r="E374" s="592"/>
      <c r="F374" s="592"/>
      <c r="G374" s="592"/>
      <c r="H374" s="592"/>
      <c r="I374" s="592"/>
      <c r="J374" s="592"/>
    </row>
    <row r="375" spans="1:10">
      <c r="A375" s="592"/>
      <c r="B375" s="592"/>
      <c r="C375" s="592"/>
      <c r="D375" s="592"/>
      <c r="E375" s="592"/>
      <c r="F375" s="592"/>
      <c r="G375" s="592"/>
      <c r="H375" s="592"/>
      <c r="I375" s="592"/>
      <c r="J375" s="592"/>
    </row>
    <row r="376" spans="1:10">
      <c r="A376" s="592"/>
      <c r="B376" s="592"/>
      <c r="C376" s="592"/>
      <c r="D376" s="592"/>
      <c r="E376" s="592"/>
      <c r="F376" s="592"/>
      <c r="G376" s="592"/>
      <c r="H376" s="592"/>
      <c r="I376" s="592"/>
      <c r="J376" s="592"/>
    </row>
    <row r="377" spans="1:10">
      <c r="A377" s="592"/>
      <c r="B377" s="592"/>
      <c r="C377" s="592"/>
      <c r="D377" s="592"/>
      <c r="E377" s="592"/>
      <c r="F377" s="592"/>
      <c r="G377" s="592"/>
      <c r="H377" s="592"/>
      <c r="I377" s="592"/>
      <c r="J377" s="592"/>
    </row>
    <row r="378" spans="1:10">
      <c r="A378" s="592"/>
      <c r="B378" s="592"/>
      <c r="C378" s="592"/>
      <c r="D378" s="592"/>
      <c r="E378" s="592"/>
      <c r="F378" s="592"/>
      <c r="G378" s="592"/>
      <c r="H378" s="592"/>
      <c r="I378" s="592"/>
      <c r="J378" s="592"/>
    </row>
    <row r="379" spans="1:10">
      <c r="A379" s="592"/>
      <c r="B379" s="592"/>
      <c r="C379" s="592"/>
      <c r="D379" s="592"/>
      <c r="E379" s="592"/>
      <c r="F379" s="592"/>
      <c r="G379" s="592"/>
      <c r="H379" s="592"/>
      <c r="I379" s="592"/>
      <c r="J379" s="592"/>
    </row>
    <row r="380" spans="1:10">
      <c r="A380" s="592"/>
      <c r="B380" s="592"/>
      <c r="C380" s="592"/>
      <c r="D380" s="592"/>
      <c r="E380" s="592"/>
      <c r="F380" s="592"/>
      <c r="G380" s="592"/>
      <c r="H380" s="592"/>
      <c r="I380" s="592"/>
      <c r="J380" s="592"/>
    </row>
    <row r="381" spans="1:10">
      <c r="A381" s="592"/>
      <c r="B381" s="592"/>
      <c r="C381" s="592"/>
      <c r="D381" s="592"/>
      <c r="E381" s="592"/>
      <c r="F381" s="592"/>
      <c r="G381" s="592"/>
      <c r="H381" s="592"/>
      <c r="I381" s="592"/>
      <c r="J381" s="592"/>
    </row>
    <row r="382" spans="1:10">
      <c r="A382" s="592"/>
      <c r="B382" s="592"/>
      <c r="C382" s="592"/>
      <c r="D382" s="592"/>
      <c r="E382" s="592"/>
      <c r="F382" s="592"/>
      <c r="G382" s="592"/>
      <c r="H382" s="592"/>
      <c r="I382" s="592"/>
      <c r="J382" s="592"/>
    </row>
    <row r="383" spans="1:10">
      <c r="A383" s="592"/>
      <c r="B383" s="592"/>
      <c r="C383" s="592"/>
      <c r="D383" s="592"/>
      <c r="E383" s="592"/>
      <c r="F383" s="592"/>
      <c r="G383" s="592"/>
      <c r="H383" s="592"/>
      <c r="I383" s="592"/>
      <c r="J383" s="592"/>
    </row>
    <row r="384" spans="1:10">
      <c r="A384" s="592"/>
      <c r="B384" s="592"/>
      <c r="C384" s="592"/>
      <c r="D384" s="592"/>
      <c r="E384" s="592"/>
      <c r="F384" s="592"/>
      <c r="G384" s="592"/>
      <c r="H384" s="592"/>
      <c r="I384" s="592"/>
      <c r="J384" s="592"/>
    </row>
    <row r="385" spans="1:10">
      <c r="A385" s="592"/>
      <c r="B385" s="592"/>
      <c r="C385" s="592"/>
      <c r="D385" s="592"/>
      <c r="E385" s="592"/>
      <c r="F385" s="592"/>
      <c r="G385" s="592"/>
      <c r="H385" s="592"/>
      <c r="I385" s="592"/>
      <c r="J385" s="592"/>
    </row>
    <row r="386" spans="1:10">
      <c r="A386" s="592"/>
      <c r="B386" s="592"/>
      <c r="C386" s="592"/>
      <c r="D386" s="592"/>
      <c r="E386" s="592"/>
      <c r="F386" s="592"/>
      <c r="G386" s="592"/>
      <c r="H386" s="592"/>
      <c r="I386" s="592"/>
      <c r="J386" s="592"/>
    </row>
    <row r="387" spans="1:10">
      <c r="A387" s="592"/>
      <c r="B387" s="592"/>
      <c r="C387" s="592"/>
      <c r="D387" s="592"/>
      <c r="E387" s="592"/>
      <c r="F387" s="592"/>
      <c r="G387" s="592"/>
      <c r="H387" s="592"/>
      <c r="I387" s="592"/>
      <c r="J387" s="592"/>
    </row>
    <row r="388" spans="1:10">
      <c r="A388" s="592"/>
      <c r="B388" s="592"/>
      <c r="C388" s="592"/>
      <c r="D388" s="592"/>
      <c r="E388" s="592"/>
      <c r="F388" s="592"/>
      <c r="G388" s="592"/>
      <c r="H388" s="592"/>
      <c r="I388" s="592"/>
      <c r="J388" s="592"/>
    </row>
    <row r="389" spans="1:10">
      <c r="A389" s="592"/>
      <c r="B389" s="592"/>
      <c r="C389" s="592"/>
      <c r="D389" s="592"/>
      <c r="E389" s="592"/>
      <c r="F389" s="592"/>
      <c r="G389" s="592"/>
      <c r="H389" s="592"/>
      <c r="I389" s="592"/>
      <c r="J389" s="592"/>
    </row>
    <row r="390" spans="1:10">
      <c r="A390" s="592"/>
      <c r="B390" s="592"/>
      <c r="C390" s="592"/>
      <c r="D390" s="592"/>
      <c r="E390" s="592"/>
      <c r="F390" s="592"/>
      <c r="G390" s="592"/>
      <c r="H390" s="592"/>
      <c r="I390" s="592"/>
      <c r="J390" s="592"/>
    </row>
    <row r="391" spans="1:10">
      <c r="A391" s="592"/>
      <c r="B391" s="592"/>
      <c r="C391" s="592"/>
      <c r="D391" s="592"/>
      <c r="E391" s="592"/>
      <c r="F391" s="592"/>
      <c r="G391" s="592"/>
      <c r="H391" s="592"/>
      <c r="I391" s="592"/>
      <c r="J391" s="592"/>
    </row>
    <row r="392" spans="1:10">
      <c r="A392" s="592"/>
      <c r="B392" s="592"/>
      <c r="C392" s="592"/>
      <c r="D392" s="592"/>
      <c r="E392" s="592"/>
      <c r="F392" s="592"/>
      <c r="G392" s="592"/>
      <c r="H392" s="592"/>
      <c r="I392" s="592"/>
      <c r="J392" s="592"/>
    </row>
    <row r="393" spans="1:10">
      <c r="A393" s="592"/>
      <c r="B393" s="592"/>
      <c r="C393" s="592"/>
      <c r="D393" s="592"/>
      <c r="E393" s="592"/>
      <c r="F393" s="592"/>
      <c r="G393" s="592"/>
      <c r="H393" s="592"/>
      <c r="I393" s="592"/>
      <c r="J393" s="592"/>
    </row>
    <row r="394" spans="1:10">
      <c r="A394" s="592"/>
      <c r="B394" s="592"/>
      <c r="C394" s="592"/>
      <c r="D394" s="592"/>
      <c r="E394" s="592"/>
      <c r="F394" s="592"/>
      <c r="G394" s="592"/>
      <c r="H394" s="592"/>
      <c r="I394" s="592"/>
      <c r="J394" s="592"/>
    </row>
    <row r="395" spans="1:10">
      <c r="A395" s="592"/>
      <c r="B395" s="592"/>
      <c r="C395" s="592"/>
      <c r="D395" s="592"/>
      <c r="E395" s="592"/>
      <c r="F395" s="592"/>
      <c r="G395" s="592"/>
      <c r="H395" s="592"/>
      <c r="I395" s="592"/>
      <c r="J395" s="592"/>
    </row>
    <row r="396" spans="1:10">
      <c r="A396" s="592"/>
      <c r="B396" s="592"/>
      <c r="C396" s="592"/>
      <c r="D396" s="592"/>
      <c r="E396" s="592"/>
      <c r="F396" s="592"/>
      <c r="G396" s="592"/>
      <c r="H396" s="592"/>
      <c r="I396" s="592"/>
      <c r="J396" s="592"/>
    </row>
    <row r="397" spans="1:10">
      <c r="A397" s="592"/>
      <c r="B397" s="592"/>
      <c r="C397" s="592"/>
      <c r="D397" s="592"/>
      <c r="E397" s="592"/>
      <c r="F397" s="592"/>
      <c r="G397" s="592"/>
      <c r="H397" s="592"/>
      <c r="I397" s="592"/>
      <c r="J397" s="592"/>
    </row>
    <row r="398" spans="1:10">
      <c r="A398" s="592"/>
      <c r="B398" s="592"/>
      <c r="C398" s="592"/>
      <c r="D398" s="592"/>
      <c r="E398" s="592"/>
      <c r="F398" s="592"/>
      <c r="G398" s="592"/>
      <c r="H398" s="592"/>
      <c r="I398" s="592"/>
      <c r="J398" s="592"/>
    </row>
    <row r="399" spans="1:10">
      <c r="A399" s="592"/>
      <c r="B399" s="592"/>
      <c r="C399" s="592"/>
      <c r="D399" s="592"/>
      <c r="E399" s="592"/>
      <c r="F399" s="592"/>
      <c r="G399" s="592"/>
      <c r="H399" s="592"/>
      <c r="I399" s="592"/>
      <c r="J399" s="592"/>
    </row>
    <row r="400" spans="1:10">
      <c r="A400" s="592"/>
      <c r="B400" s="592"/>
      <c r="C400" s="592"/>
      <c r="D400" s="592"/>
      <c r="E400" s="592"/>
      <c r="F400" s="592"/>
      <c r="G400" s="592"/>
      <c r="H400" s="592"/>
      <c r="I400" s="592"/>
      <c r="J400" s="592"/>
    </row>
    <row r="401" spans="1:10">
      <c r="A401" s="592"/>
      <c r="B401" s="592"/>
      <c r="C401" s="592"/>
      <c r="D401" s="592"/>
      <c r="E401" s="592"/>
      <c r="F401" s="592"/>
      <c r="G401" s="592"/>
      <c r="H401" s="592"/>
      <c r="I401" s="592"/>
      <c r="J401" s="592"/>
    </row>
    <row r="402" spans="1:10">
      <c r="A402" s="592"/>
      <c r="B402" s="592"/>
      <c r="C402" s="592"/>
      <c r="D402" s="592"/>
      <c r="E402" s="592"/>
      <c r="F402" s="592"/>
      <c r="G402" s="592"/>
      <c r="H402" s="592"/>
      <c r="I402" s="592"/>
      <c r="J402" s="592"/>
    </row>
    <row r="403" spans="1:10">
      <c r="A403" s="592"/>
      <c r="B403" s="592"/>
      <c r="C403" s="592"/>
      <c r="D403" s="592"/>
      <c r="E403" s="592"/>
      <c r="F403" s="592"/>
      <c r="G403" s="592"/>
      <c r="H403" s="592"/>
      <c r="I403" s="592"/>
      <c r="J403" s="592"/>
    </row>
    <row r="404" spans="1:10">
      <c r="A404" s="592"/>
      <c r="B404" s="592"/>
      <c r="C404" s="592"/>
      <c r="D404" s="592"/>
      <c r="E404" s="592"/>
      <c r="F404" s="592"/>
      <c r="G404" s="592"/>
      <c r="H404" s="592"/>
      <c r="I404" s="592"/>
      <c r="J404" s="592"/>
    </row>
    <row r="405" spans="1:10">
      <c r="A405" s="592"/>
      <c r="B405" s="592"/>
      <c r="C405" s="592"/>
      <c r="D405" s="592"/>
      <c r="E405" s="592"/>
      <c r="F405" s="592"/>
      <c r="G405" s="592"/>
      <c r="H405" s="592"/>
      <c r="I405" s="592"/>
      <c r="J405" s="592"/>
    </row>
    <row r="406" spans="1:10">
      <c r="A406" s="592"/>
      <c r="B406" s="592"/>
      <c r="C406" s="592"/>
      <c r="D406" s="592"/>
      <c r="E406" s="592"/>
      <c r="F406" s="592"/>
      <c r="G406" s="592"/>
      <c r="H406" s="592"/>
      <c r="I406" s="592"/>
      <c r="J406" s="592"/>
    </row>
    <row r="407" spans="1:10">
      <c r="A407" s="592"/>
      <c r="B407" s="592"/>
      <c r="C407" s="592"/>
      <c r="D407" s="592"/>
      <c r="E407" s="592"/>
      <c r="F407" s="592"/>
      <c r="G407" s="592"/>
      <c r="H407" s="592"/>
      <c r="I407" s="592"/>
      <c r="J407" s="592"/>
    </row>
    <row r="408" spans="1:10">
      <c r="A408" s="592"/>
      <c r="B408" s="592"/>
      <c r="C408" s="592"/>
      <c r="D408" s="592"/>
      <c r="E408" s="592"/>
      <c r="F408" s="592"/>
      <c r="G408" s="592"/>
      <c r="H408" s="592"/>
      <c r="I408" s="592"/>
      <c r="J408" s="592"/>
    </row>
    <row r="409" spans="1:10">
      <c r="A409" s="592"/>
      <c r="B409" s="592"/>
      <c r="C409" s="592"/>
      <c r="D409" s="592"/>
      <c r="E409" s="592"/>
      <c r="F409" s="592"/>
      <c r="G409" s="592"/>
      <c r="H409" s="592"/>
      <c r="I409" s="592"/>
      <c r="J409" s="592"/>
    </row>
    <row r="410" spans="1:10">
      <c r="A410" s="592"/>
      <c r="B410" s="592"/>
      <c r="C410" s="592"/>
      <c r="D410" s="592"/>
      <c r="E410" s="592"/>
      <c r="F410" s="592"/>
      <c r="G410" s="592"/>
      <c r="H410" s="592"/>
      <c r="I410" s="592"/>
      <c r="J410" s="592"/>
    </row>
    <row r="411" spans="1:10">
      <c r="A411" s="592"/>
      <c r="B411" s="592"/>
      <c r="C411" s="592"/>
      <c r="D411" s="592"/>
      <c r="E411" s="592"/>
      <c r="F411" s="592"/>
      <c r="G411" s="592"/>
      <c r="H411" s="592"/>
      <c r="I411" s="592"/>
      <c r="J411" s="592"/>
    </row>
    <row r="412" spans="1:10">
      <c r="A412" s="592"/>
      <c r="B412" s="592"/>
      <c r="C412" s="592"/>
      <c r="D412" s="592"/>
      <c r="E412" s="592"/>
      <c r="F412" s="592"/>
      <c r="G412" s="592"/>
      <c r="H412" s="592"/>
      <c r="I412" s="592"/>
      <c r="J412" s="592"/>
    </row>
    <row r="413" spans="1:10">
      <c r="A413" s="592"/>
      <c r="B413" s="592"/>
      <c r="C413" s="592"/>
      <c r="D413" s="592"/>
      <c r="E413" s="592"/>
      <c r="F413" s="592"/>
      <c r="G413" s="592"/>
      <c r="H413" s="592"/>
      <c r="I413" s="592"/>
      <c r="J413" s="592"/>
    </row>
    <row r="414" spans="1:10">
      <c r="A414" s="592"/>
      <c r="B414" s="592"/>
      <c r="C414" s="592"/>
      <c r="D414" s="592"/>
      <c r="E414" s="592"/>
      <c r="F414" s="592"/>
      <c r="G414" s="592"/>
      <c r="H414" s="592"/>
      <c r="I414" s="592"/>
      <c r="J414" s="592"/>
    </row>
    <row r="415" spans="1:10">
      <c r="A415" s="592"/>
      <c r="B415" s="592"/>
      <c r="C415" s="592"/>
      <c r="D415" s="592"/>
      <c r="E415" s="592"/>
      <c r="F415" s="592"/>
      <c r="G415" s="592"/>
      <c r="H415" s="592"/>
      <c r="I415" s="592"/>
      <c r="J415" s="592"/>
    </row>
    <row r="416" spans="1:10">
      <c r="A416" s="592"/>
      <c r="B416" s="592"/>
      <c r="C416" s="592"/>
      <c r="D416" s="592"/>
      <c r="E416" s="592"/>
      <c r="F416" s="592"/>
      <c r="G416" s="592"/>
      <c r="H416" s="592"/>
      <c r="I416" s="592"/>
      <c r="J416" s="592"/>
    </row>
    <row r="417" spans="1:10">
      <c r="A417" s="592"/>
      <c r="B417" s="592"/>
      <c r="C417" s="592"/>
      <c r="D417" s="592"/>
      <c r="E417" s="592"/>
      <c r="F417" s="592"/>
      <c r="G417" s="592"/>
      <c r="H417" s="592"/>
      <c r="I417" s="592"/>
      <c r="J417" s="592"/>
    </row>
    <row r="418" spans="1:10">
      <c r="A418" s="592"/>
      <c r="B418" s="592"/>
      <c r="C418" s="592"/>
      <c r="D418" s="592"/>
      <c r="E418" s="592"/>
      <c r="F418" s="592"/>
      <c r="G418" s="592"/>
      <c r="H418" s="592"/>
      <c r="I418" s="592"/>
      <c r="J418" s="592"/>
    </row>
    <row r="419" spans="1:10">
      <c r="A419" s="592"/>
      <c r="B419" s="592"/>
      <c r="C419" s="592"/>
      <c r="D419" s="592"/>
      <c r="E419" s="592"/>
      <c r="F419" s="592"/>
      <c r="G419" s="592"/>
      <c r="H419" s="592"/>
      <c r="I419" s="592"/>
      <c r="J419" s="592"/>
    </row>
    <row r="420" spans="1:10">
      <c r="A420" s="592"/>
      <c r="B420" s="592"/>
      <c r="C420" s="592"/>
      <c r="D420" s="592"/>
      <c r="E420" s="592"/>
      <c r="F420" s="592"/>
      <c r="G420" s="592"/>
      <c r="H420" s="592"/>
      <c r="I420" s="592"/>
      <c r="J420" s="592"/>
    </row>
    <row r="421" spans="1:10">
      <c r="A421" s="592"/>
      <c r="B421" s="592"/>
      <c r="C421" s="592"/>
      <c r="D421" s="592"/>
      <c r="E421" s="592"/>
      <c r="F421" s="592"/>
      <c r="G421" s="592"/>
      <c r="H421" s="592"/>
      <c r="I421" s="592"/>
      <c r="J421" s="592"/>
    </row>
    <row r="422" spans="1:10">
      <c r="A422" s="592"/>
      <c r="B422" s="592"/>
      <c r="C422" s="592"/>
      <c r="D422" s="592"/>
      <c r="E422" s="592"/>
      <c r="F422" s="592"/>
      <c r="G422" s="592"/>
      <c r="H422" s="592"/>
      <c r="I422" s="592"/>
      <c r="J422" s="592"/>
    </row>
    <row r="423" spans="1:10">
      <c r="A423" s="592"/>
      <c r="B423" s="592"/>
      <c r="C423" s="592"/>
      <c r="D423" s="592"/>
      <c r="E423" s="592"/>
      <c r="F423" s="592"/>
      <c r="G423" s="592"/>
      <c r="H423" s="592"/>
      <c r="I423" s="592"/>
      <c r="J423" s="592"/>
    </row>
    <row r="424" spans="1:10">
      <c r="A424" s="592"/>
      <c r="B424" s="592"/>
      <c r="C424" s="592"/>
      <c r="D424" s="592"/>
      <c r="E424" s="592"/>
      <c r="F424" s="592"/>
      <c r="G424" s="592"/>
      <c r="H424" s="592"/>
      <c r="I424" s="592"/>
      <c r="J424" s="592"/>
    </row>
    <row r="425" spans="1:10">
      <c r="A425" s="592"/>
      <c r="B425" s="592"/>
      <c r="C425" s="592"/>
      <c r="D425" s="592"/>
      <c r="E425" s="592"/>
      <c r="F425" s="592"/>
      <c r="G425" s="592"/>
      <c r="H425" s="592"/>
      <c r="I425" s="592"/>
      <c r="J425" s="592"/>
    </row>
    <row r="426" spans="1:10">
      <c r="A426" s="592"/>
      <c r="B426" s="592"/>
      <c r="C426" s="592"/>
      <c r="D426" s="592"/>
      <c r="E426" s="592"/>
      <c r="F426" s="592"/>
      <c r="G426" s="592"/>
      <c r="H426" s="592"/>
      <c r="I426" s="592"/>
      <c r="J426" s="592"/>
    </row>
    <row r="427" spans="1:10">
      <c r="A427" s="592"/>
      <c r="B427" s="592"/>
      <c r="C427" s="592"/>
      <c r="D427" s="592"/>
      <c r="E427" s="592"/>
      <c r="F427" s="592"/>
      <c r="G427" s="592"/>
      <c r="H427" s="592"/>
      <c r="I427" s="592"/>
      <c r="J427" s="592"/>
    </row>
    <row r="428" spans="1:10">
      <c r="A428" s="592"/>
      <c r="B428" s="592"/>
      <c r="C428" s="592"/>
      <c r="D428" s="592"/>
      <c r="E428" s="592"/>
      <c r="F428" s="592"/>
      <c r="G428" s="592"/>
      <c r="H428" s="592"/>
      <c r="I428" s="592"/>
      <c r="J428" s="592"/>
    </row>
    <row r="429" spans="1:10">
      <c r="A429" s="592"/>
      <c r="B429" s="592"/>
      <c r="C429" s="592"/>
      <c r="D429" s="592"/>
      <c r="E429" s="592"/>
      <c r="F429" s="592"/>
      <c r="G429" s="592"/>
      <c r="H429" s="592"/>
      <c r="I429" s="592"/>
      <c r="J429" s="592"/>
    </row>
    <row r="430" spans="1:10">
      <c r="A430" s="592"/>
      <c r="B430" s="592"/>
      <c r="C430" s="592"/>
      <c r="D430" s="592"/>
      <c r="E430" s="592"/>
      <c r="F430" s="592"/>
      <c r="G430" s="592"/>
      <c r="H430" s="592"/>
      <c r="I430" s="592"/>
      <c r="J430" s="592"/>
    </row>
    <row r="431" spans="1:10">
      <c r="A431" s="592"/>
      <c r="B431" s="592"/>
      <c r="C431" s="592"/>
      <c r="D431" s="592"/>
      <c r="E431" s="592"/>
      <c r="F431" s="592"/>
      <c r="G431" s="592"/>
      <c r="H431" s="592"/>
      <c r="I431" s="592"/>
      <c r="J431" s="592"/>
    </row>
    <row r="432" spans="1:10">
      <c r="A432" s="592"/>
      <c r="B432" s="592"/>
      <c r="C432" s="592"/>
      <c r="D432" s="592"/>
      <c r="E432" s="592"/>
      <c r="F432" s="592"/>
      <c r="G432" s="592"/>
      <c r="H432" s="592"/>
      <c r="I432" s="592"/>
      <c r="J432" s="592"/>
    </row>
    <row r="433" spans="1:10">
      <c r="A433" s="592"/>
      <c r="B433" s="592"/>
      <c r="C433" s="592"/>
      <c r="D433" s="592"/>
      <c r="E433" s="592"/>
      <c r="F433" s="592"/>
      <c r="G433" s="592"/>
      <c r="H433" s="592"/>
      <c r="I433" s="592"/>
      <c r="J433" s="592"/>
    </row>
    <row r="434" spans="1:10">
      <c r="A434" s="592"/>
      <c r="B434" s="592"/>
      <c r="C434" s="592"/>
      <c r="D434" s="592"/>
      <c r="E434" s="592"/>
      <c r="F434" s="592"/>
      <c r="G434" s="592"/>
      <c r="H434" s="592"/>
      <c r="I434" s="592"/>
      <c r="J434" s="592"/>
    </row>
    <row r="435" spans="1:10">
      <c r="A435" s="592"/>
      <c r="B435" s="592"/>
      <c r="C435" s="592"/>
      <c r="D435" s="592"/>
      <c r="E435" s="592"/>
      <c r="F435" s="592"/>
      <c r="G435" s="592"/>
      <c r="H435" s="592"/>
      <c r="I435" s="592"/>
      <c r="J435" s="592"/>
    </row>
    <row r="436" spans="1:10">
      <c r="A436" s="592"/>
      <c r="B436" s="592"/>
      <c r="C436" s="592"/>
      <c r="D436" s="592"/>
      <c r="E436" s="592"/>
      <c r="F436" s="592"/>
      <c r="G436" s="592"/>
      <c r="H436" s="592"/>
      <c r="I436" s="592"/>
      <c r="J436" s="592"/>
    </row>
    <row r="437" spans="1:10">
      <c r="A437" s="592"/>
      <c r="B437" s="592"/>
      <c r="C437" s="592"/>
      <c r="D437" s="592"/>
      <c r="E437" s="592"/>
      <c r="F437" s="592"/>
      <c r="G437" s="592"/>
      <c r="H437" s="592"/>
      <c r="I437" s="592"/>
      <c r="J437" s="592"/>
    </row>
    <row r="438" spans="1:10">
      <c r="A438" s="592"/>
      <c r="B438" s="592"/>
      <c r="C438" s="592"/>
      <c r="D438" s="592"/>
      <c r="E438" s="592"/>
      <c r="F438" s="592"/>
      <c r="G438" s="592"/>
      <c r="H438" s="592"/>
      <c r="I438" s="592"/>
      <c r="J438" s="592"/>
    </row>
    <row r="439" spans="1:10">
      <c r="A439" s="592"/>
      <c r="B439" s="592"/>
      <c r="C439" s="592"/>
      <c r="D439" s="592"/>
      <c r="E439" s="592"/>
      <c r="F439" s="592"/>
      <c r="G439" s="592"/>
      <c r="H439" s="592"/>
      <c r="I439" s="592"/>
      <c r="J439" s="592"/>
    </row>
    <row r="440" spans="1:10">
      <c r="A440" s="592"/>
      <c r="B440" s="592"/>
      <c r="C440" s="592"/>
      <c r="D440" s="592"/>
      <c r="E440" s="592"/>
      <c r="F440" s="592"/>
      <c r="G440" s="592"/>
      <c r="H440" s="592"/>
      <c r="I440" s="592"/>
      <c r="J440" s="592"/>
    </row>
    <row r="441" spans="1:10">
      <c r="A441" s="592"/>
      <c r="B441" s="592"/>
      <c r="C441" s="592"/>
      <c r="D441" s="592"/>
      <c r="E441" s="592"/>
      <c r="F441" s="592"/>
      <c r="G441" s="592"/>
      <c r="H441" s="592"/>
      <c r="I441" s="592"/>
      <c r="J441" s="592"/>
    </row>
    <row r="442" spans="1:10">
      <c r="A442" s="592"/>
      <c r="B442" s="592"/>
      <c r="C442" s="592"/>
      <c r="D442" s="592"/>
      <c r="E442" s="592"/>
      <c r="F442" s="592"/>
      <c r="G442" s="592"/>
      <c r="H442" s="592"/>
      <c r="I442" s="592"/>
      <c r="J442" s="592"/>
    </row>
    <row r="443" spans="1:10">
      <c r="A443" s="592"/>
      <c r="B443" s="592"/>
      <c r="C443" s="592"/>
      <c r="D443" s="592"/>
      <c r="E443" s="592"/>
      <c r="F443" s="592"/>
      <c r="G443" s="592"/>
      <c r="H443" s="592"/>
      <c r="I443" s="592"/>
      <c r="J443" s="592"/>
    </row>
    <row r="444" spans="1:10">
      <c r="A444" s="592"/>
      <c r="B444" s="592"/>
      <c r="C444" s="592"/>
      <c r="D444" s="592"/>
      <c r="E444" s="592"/>
      <c r="F444" s="592"/>
      <c r="G444" s="592"/>
      <c r="H444" s="592"/>
      <c r="I444" s="592"/>
      <c r="J444" s="592"/>
    </row>
    <row r="445" spans="1:10">
      <c r="A445" s="592"/>
      <c r="B445" s="592"/>
      <c r="C445" s="592"/>
      <c r="D445" s="592"/>
      <c r="E445" s="592"/>
      <c r="F445" s="592"/>
      <c r="G445" s="592"/>
      <c r="H445" s="592"/>
      <c r="I445" s="592"/>
      <c r="J445" s="592"/>
    </row>
    <row r="446" spans="1:10">
      <c r="A446" s="592"/>
      <c r="B446" s="592"/>
      <c r="C446" s="592"/>
      <c r="D446" s="592"/>
      <c r="E446" s="592"/>
      <c r="F446" s="592"/>
      <c r="G446" s="592"/>
      <c r="H446" s="592"/>
      <c r="I446" s="592"/>
      <c r="J446" s="592"/>
    </row>
    <row r="447" spans="1:10">
      <c r="A447" s="592"/>
      <c r="B447" s="592"/>
      <c r="C447" s="592"/>
      <c r="D447" s="592"/>
      <c r="E447" s="592"/>
      <c r="F447" s="592"/>
      <c r="G447" s="592"/>
      <c r="H447" s="592"/>
      <c r="I447" s="592"/>
      <c r="J447" s="592"/>
    </row>
    <row r="448" spans="1:10">
      <c r="A448" s="592"/>
      <c r="B448" s="592"/>
      <c r="C448" s="592"/>
      <c r="D448" s="592"/>
      <c r="E448" s="592"/>
      <c r="F448" s="592"/>
      <c r="G448" s="592"/>
      <c r="H448" s="592"/>
      <c r="I448" s="592"/>
      <c r="J448" s="592"/>
    </row>
    <row r="449" spans="1:10">
      <c r="A449" s="592"/>
      <c r="B449" s="592"/>
      <c r="C449" s="592"/>
      <c r="D449" s="592"/>
      <c r="E449" s="592"/>
      <c r="F449" s="592"/>
      <c r="G449" s="592"/>
      <c r="H449" s="592"/>
      <c r="I449" s="592"/>
      <c r="J449" s="592"/>
    </row>
    <row r="450" spans="1:10">
      <c r="A450" s="592"/>
      <c r="B450" s="592"/>
      <c r="C450" s="592"/>
      <c r="D450" s="592"/>
      <c r="E450" s="592"/>
      <c r="F450" s="592"/>
      <c r="G450" s="592"/>
      <c r="H450" s="592"/>
      <c r="I450" s="592"/>
      <c r="J450" s="592"/>
    </row>
    <row r="451" spans="1:10">
      <c r="A451" s="592"/>
      <c r="B451" s="592"/>
      <c r="C451" s="592"/>
      <c r="D451" s="592"/>
      <c r="E451" s="592"/>
      <c r="F451" s="592"/>
      <c r="G451" s="592"/>
      <c r="H451" s="592"/>
      <c r="I451" s="592"/>
      <c r="J451" s="592"/>
    </row>
    <row r="452" spans="1:10">
      <c r="A452" s="592"/>
      <c r="B452" s="592"/>
      <c r="C452" s="592"/>
      <c r="D452" s="592"/>
      <c r="E452" s="592"/>
      <c r="F452" s="592"/>
      <c r="G452" s="592"/>
      <c r="H452" s="592"/>
      <c r="I452" s="592"/>
      <c r="J452" s="592"/>
    </row>
    <row r="453" spans="1:10">
      <c r="A453" s="592"/>
      <c r="B453" s="592"/>
      <c r="C453" s="592"/>
      <c r="D453" s="592"/>
      <c r="E453" s="592"/>
      <c r="F453" s="592"/>
      <c r="G453" s="592"/>
      <c r="H453" s="592"/>
      <c r="I453" s="592"/>
      <c r="J453" s="592"/>
    </row>
    <row r="454" spans="1:10">
      <c r="A454" s="592"/>
      <c r="B454" s="592"/>
      <c r="C454" s="592"/>
      <c r="D454" s="592"/>
      <c r="E454" s="592"/>
      <c r="F454" s="592"/>
      <c r="G454" s="592"/>
      <c r="H454" s="592"/>
      <c r="I454" s="592"/>
      <c r="J454" s="592"/>
    </row>
    <row r="455" spans="1:10">
      <c r="A455" s="592"/>
      <c r="B455" s="592"/>
      <c r="C455" s="592"/>
      <c r="D455" s="592"/>
      <c r="E455" s="592"/>
      <c r="F455" s="592"/>
      <c r="G455" s="592"/>
      <c r="H455" s="592"/>
      <c r="I455" s="592"/>
      <c r="J455" s="592"/>
    </row>
    <row r="456" spans="1:10">
      <c r="A456" s="592"/>
      <c r="B456" s="592"/>
      <c r="C456" s="592"/>
      <c r="D456" s="592"/>
      <c r="E456" s="592"/>
      <c r="F456" s="592"/>
      <c r="G456" s="592"/>
      <c r="H456" s="592"/>
      <c r="I456" s="592"/>
      <c r="J456" s="592"/>
    </row>
    <row r="457" spans="1:10">
      <c r="A457" s="592"/>
      <c r="B457" s="592"/>
      <c r="C457" s="592"/>
      <c r="D457" s="592"/>
      <c r="E457" s="592"/>
      <c r="F457" s="592"/>
      <c r="G457" s="592"/>
      <c r="H457" s="592"/>
      <c r="I457" s="592"/>
      <c r="J457" s="592"/>
    </row>
    <row r="458" spans="1:10">
      <c r="A458" s="592"/>
      <c r="B458" s="592"/>
      <c r="C458" s="592"/>
      <c r="D458" s="592"/>
      <c r="E458" s="592"/>
      <c r="F458" s="592"/>
      <c r="G458" s="592"/>
      <c r="H458" s="592"/>
      <c r="I458" s="592"/>
      <c r="J458" s="592"/>
    </row>
    <row r="459" spans="1:10">
      <c r="A459" s="592"/>
      <c r="B459" s="592"/>
      <c r="C459" s="592"/>
      <c r="D459" s="592"/>
      <c r="E459" s="592"/>
      <c r="F459" s="592"/>
      <c r="G459" s="592"/>
      <c r="H459" s="592"/>
      <c r="I459" s="592"/>
      <c r="J459" s="592"/>
    </row>
    <row r="460" spans="1:10">
      <c r="A460" s="592"/>
      <c r="B460" s="592"/>
      <c r="C460" s="592"/>
      <c r="D460" s="592"/>
      <c r="E460" s="592"/>
      <c r="F460" s="592"/>
      <c r="G460" s="592"/>
      <c r="H460" s="592"/>
      <c r="I460" s="592"/>
      <c r="J460" s="592"/>
    </row>
    <row r="461" spans="1:10">
      <c r="A461" s="592"/>
      <c r="B461" s="592"/>
      <c r="C461" s="592"/>
      <c r="D461" s="592"/>
      <c r="E461" s="592"/>
      <c r="F461" s="592"/>
      <c r="G461" s="592"/>
      <c r="H461" s="592"/>
      <c r="I461" s="592"/>
      <c r="J461" s="592"/>
    </row>
    <row r="462" spans="1:10">
      <c r="A462" s="592"/>
      <c r="B462" s="592"/>
      <c r="C462" s="592"/>
      <c r="D462" s="592"/>
      <c r="E462" s="592"/>
      <c r="F462" s="592"/>
      <c r="G462" s="592"/>
      <c r="H462" s="592"/>
      <c r="I462" s="592"/>
      <c r="J462" s="592"/>
    </row>
    <row r="463" spans="1:10">
      <c r="A463" s="592"/>
      <c r="B463" s="592"/>
      <c r="C463" s="592"/>
      <c r="D463" s="592"/>
      <c r="E463" s="592"/>
      <c r="F463" s="592"/>
      <c r="G463" s="592"/>
      <c r="H463" s="592"/>
      <c r="I463" s="592"/>
      <c r="J463" s="592"/>
    </row>
    <row r="464" spans="1:10">
      <c r="A464" s="592"/>
      <c r="B464" s="592"/>
      <c r="C464" s="592"/>
      <c r="D464" s="592"/>
      <c r="E464" s="592"/>
      <c r="F464" s="592"/>
      <c r="G464" s="592"/>
      <c r="H464" s="592"/>
      <c r="I464" s="592"/>
      <c r="J464" s="592"/>
    </row>
    <row r="465" spans="1:10">
      <c r="A465" s="592"/>
      <c r="B465" s="592"/>
      <c r="C465" s="592"/>
      <c r="D465" s="592"/>
      <c r="E465" s="592"/>
      <c r="F465" s="592"/>
      <c r="G465" s="592"/>
      <c r="H465" s="592"/>
      <c r="I465" s="592"/>
      <c r="J465" s="592"/>
    </row>
    <row r="466" spans="1:10">
      <c r="A466" s="592"/>
      <c r="B466" s="592"/>
      <c r="C466" s="592"/>
      <c r="D466" s="592"/>
      <c r="E466" s="592"/>
      <c r="F466" s="592"/>
      <c r="G466" s="592"/>
      <c r="H466" s="592"/>
      <c r="I466" s="592"/>
      <c r="J466" s="592"/>
    </row>
    <row r="467" spans="1:10">
      <c r="A467" s="592"/>
      <c r="B467" s="592"/>
      <c r="C467" s="592"/>
      <c r="D467" s="592"/>
      <c r="E467" s="592"/>
      <c r="F467" s="592"/>
      <c r="G467" s="592"/>
      <c r="H467" s="592"/>
      <c r="I467" s="592"/>
      <c r="J467" s="592"/>
    </row>
    <row r="468" spans="1:10">
      <c r="A468" s="592"/>
      <c r="B468" s="592"/>
      <c r="C468" s="592"/>
      <c r="D468" s="592"/>
      <c r="E468" s="592"/>
      <c r="F468" s="592"/>
      <c r="G468" s="592"/>
      <c r="H468" s="592"/>
      <c r="I468" s="592"/>
      <c r="J468" s="592"/>
    </row>
    <row r="469" spans="1:10">
      <c r="A469" s="592"/>
      <c r="B469" s="592"/>
      <c r="C469" s="592"/>
      <c r="D469" s="592"/>
      <c r="E469" s="592"/>
      <c r="F469" s="592"/>
      <c r="G469" s="592"/>
      <c r="H469" s="592"/>
      <c r="I469" s="592"/>
      <c r="J469" s="592"/>
    </row>
    <row r="470" spans="1:10">
      <c r="A470" s="592"/>
      <c r="B470" s="592"/>
      <c r="C470" s="592"/>
      <c r="D470" s="592"/>
      <c r="E470" s="592"/>
      <c r="F470" s="592"/>
      <c r="G470" s="592"/>
      <c r="H470" s="592"/>
      <c r="I470" s="592"/>
      <c r="J470" s="592"/>
    </row>
    <row r="471" spans="1:10">
      <c r="A471" s="592"/>
      <c r="B471" s="592"/>
      <c r="C471" s="592"/>
      <c r="D471" s="592"/>
      <c r="E471" s="592"/>
      <c r="F471" s="592"/>
      <c r="G471" s="592"/>
      <c r="H471" s="592"/>
      <c r="I471" s="592"/>
      <c r="J471" s="592"/>
    </row>
    <row r="472" spans="1:10">
      <c r="A472" s="592"/>
      <c r="B472" s="592"/>
      <c r="C472" s="592"/>
      <c r="D472" s="592"/>
      <c r="E472" s="592"/>
      <c r="F472" s="592"/>
      <c r="G472" s="592"/>
      <c r="H472" s="592"/>
      <c r="I472" s="592"/>
      <c r="J472" s="592"/>
    </row>
    <row r="473" spans="1:10">
      <c r="A473" s="592"/>
      <c r="B473" s="592"/>
      <c r="C473" s="592"/>
      <c r="D473" s="592"/>
      <c r="E473" s="592"/>
      <c r="F473" s="592"/>
      <c r="G473" s="592"/>
      <c r="H473" s="592"/>
      <c r="I473" s="592"/>
      <c r="J473" s="592"/>
    </row>
    <row r="474" spans="1:10">
      <c r="A474" s="592"/>
      <c r="B474" s="592"/>
      <c r="C474" s="592"/>
      <c r="D474" s="592"/>
      <c r="E474" s="592"/>
      <c r="F474" s="592"/>
      <c r="G474" s="592"/>
      <c r="H474" s="592"/>
      <c r="I474" s="592"/>
      <c r="J474" s="592"/>
    </row>
    <row r="475" spans="1:10">
      <c r="A475" s="592"/>
      <c r="B475" s="592"/>
      <c r="C475" s="592"/>
      <c r="D475" s="592"/>
      <c r="E475" s="592"/>
      <c r="F475" s="592"/>
      <c r="G475" s="592"/>
      <c r="H475" s="592"/>
      <c r="I475" s="592"/>
      <c r="J475" s="592"/>
    </row>
    <row r="476" spans="1:10">
      <c r="A476" s="592"/>
      <c r="B476" s="592"/>
      <c r="C476" s="592"/>
      <c r="D476" s="592"/>
      <c r="E476" s="592"/>
      <c r="F476" s="592"/>
      <c r="G476" s="592"/>
      <c r="H476" s="592"/>
      <c r="I476" s="592"/>
      <c r="J476" s="592"/>
    </row>
    <row r="477" spans="1:10">
      <c r="A477" s="592"/>
      <c r="B477" s="592"/>
      <c r="C477" s="592"/>
      <c r="D477" s="592"/>
      <c r="E477" s="592"/>
      <c r="F477" s="592"/>
      <c r="G477" s="592"/>
      <c r="H477" s="592"/>
      <c r="I477" s="592"/>
      <c r="J477" s="592"/>
    </row>
    <row r="478" spans="1:10">
      <c r="A478" s="592"/>
      <c r="B478" s="592"/>
      <c r="C478" s="592"/>
      <c r="D478" s="592"/>
      <c r="E478" s="592"/>
      <c r="F478" s="592"/>
      <c r="G478" s="592"/>
      <c r="H478" s="592"/>
      <c r="I478" s="592"/>
      <c r="J478" s="592"/>
    </row>
    <row r="479" spans="1:10">
      <c r="A479" s="592"/>
      <c r="B479" s="592"/>
      <c r="C479" s="592"/>
      <c r="D479" s="592"/>
      <c r="E479" s="592"/>
      <c r="F479" s="592"/>
      <c r="G479" s="592"/>
      <c r="H479" s="592"/>
      <c r="I479" s="592"/>
      <c r="J479" s="592"/>
    </row>
    <row r="480" spans="1:10">
      <c r="A480" s="592"/>
      <c r="B480" s="592"/>
      <c r="C480" s="592"/>
      <c r="D480" s="592"/>
      <c r="E480" s="592"/>
      <c r="F480" s="592"/>
      <c r="G480" s="592"/>
      <c r="H480" s="592"/>
      <c r="I480" s="592"/>
      <c r="J480" s="592"/>
    </row>
    <row r="481" spans="1:10">
      <c r="A481" s="592"/>
      <c r="B481" s="592"/>
      <c r="C481" s="592"/>
      <c r="D481" s="592"/>
      <c r="E481" s="592"/>
      <c r="F481" s="592"/>
      <c r="G481" s="592"/>
      <c r="H481" s="592"/>
      <c r="I481" s="592"/>
      <c r="J481" s="592"/>
    </row>
    <row r="482" spans="1:10">
      <c r="A482" s="592"/>
      <c r="B482" s="592"/>
      <c r="C482" s="592"/>
      <c r="D482" s="592"/>
      <c r="E482" s="592"/>
      <c r="F482" s="592"/>
      <c r="G482" s="592"/>
      <c r="H482" s="592"/>
      <c r="I482" s="592"/>
      <c r="J482" s="592"/>
    </row>
    <row r="483" spans="1:10">
      <c r="A483" s="592"/>
      <c r="B483" s="592"/>
      <c r="C483" s="592"/>
      <c r="D483" s="592"/>
      <c r="E483" s="592"/>
      <c r="F483" s="592"/>
      <c r="G483" s="592"/>
      <c r="H483" s="592"/>
      <c r="I483" s="592"/>
      <c r="J483" s="592"/>
    </row>
    <row r="484" spans="1:10">
      <c r="A484" s="592"/>
      <c r="B484" s="592"/>
      <c r="C484" s="592"/>
      <c r="D484" s="592"/>
      <c r="E484" s="592"/>
      <c r="F484" s="592"/>
      <c r="G484" s="592"/>
      <c r="H484" s="592"/>
      <c r="I484" s="592"/>
      <c r="J484" s="592"/>
    </row>
    <row r="485" spans="1:10">
      <c r="A485" s="592"/>
      <c r="B485" s="592"/>
      <c r="C485" s="592"/>
      <c r="D485" s="592"/>
      <c r="E485" s="592"/>
      <c r="F485" s="592"/>
      <c r="G485" s="592"/>
      <c r="H485" s="592"/>
      <c r="I485" s="592"/>
      <c r="J485" s="592"/>
    </row>
    <row r="486" spans="1:10">
      <c r="A486" s="592"/>
      <c r="B486" s="592"/>
      <c r="C486" s="592"/>
      <c r="D486" s="592"/>
      <c r="E486" s="592"/>
      <c r="F486" s="592"/>
      <c r="G486" s="592"/>
      <c r="H486" s="592"/>
      <c r="I486" s="592"/>
      <c r="J486" s="592"/>
    </row>
    <row r="487" spans="1:10">
      <c r="A487" s="592"/>
      <c r="B487" s="592"/>
      <c r="C487" s="592"/>
      <c r="D487" s="592"/>
      <c r="E487" s="592"/>
      <c r="F487" s="592"/>
      <c r="G487" s="592"/>
      <c r="H487" s="592"/>
      <c r="I487" s="592"/>
      <c r="J487" s="592"/>
    </row>
    <row r="488" spans="1:10">
      <c r="A488" s="592"/>
      <c r="B488" s="592"/>
      <c r="C488" s="592"/>
      <c r="D488" s="592"/>
      <c r="E488" s="592"/>
      <c r="F488" s="592"/>
      <c r="G488" s="592"/>
      <c r="H488" s="592"/>
      <c r="I488" s="592"/>
      <c r="J488" s="592"/>
    </row>
    <row r="489" spans="1:10">
      <c r="A489" s="592"/>
      <c r="B489" s="592"/>
      <c r="C489" s="592"/>
      <c r="D489" s="592"/>
      <c r="E489" s="592"/>
      <c r="F489" s="592"/>
      <c r="G489" s="592"/>
      <c r="H489" s="592"/>
      <c r="I489" s="592"/>
      <c r="J489" s="592"/>
    </row>
    <row r="490" spans="1:10">
      <c r="A490" s="592"/>
      <c r="B490" s="592"/>
      <c r="C490" s="592"/>
      <c r="D490" s="592"/>
      <c r="E490" s="592"/>
      <c r="F490" s="592"/>
      <c r="G490" s="592"/>
      <c r="H490" s="592"/>
      <c r="I490" s="592"/>
      <c r="J490" s="592"/>
    </row>
    <row r="491" spans="1:10">
      <c r="A491" s="592"/>
      <c r="B491" s="592"/>
      <c r="C491" s="592"/>
      <c r="D491" s="592"/>
      <c r="E491" s="592"/>
      <c r="F491" s="592"/>
      <c r="G491" s="592"/>
      <c r="H491" s="592"/>
      <c r="I491" s="592"/>
      <c r="J491" s="592"/>
    </row>
    <row r="492" spans="1:10">
      <c r="A492" s="592"/>
      <c r="B492" s="592"/>
      <c r="C492" s="592"/>
      <c r="D492" s="592"/>
      <c r="E492" s="592"/>
      <c r="F492" s="592"/>
      <c r="G492" s="592"/>
      <c r="H492" s="592"/>
      <c r="I492" s="592"/>
      <c r="J492" s="592"/>
    </row>
    <row r="493" spans="1:10">
      <c r="A493" s="592"/>
      <c r="B493" s="592"/>
      <c r="C493" s="592"/>
      <c r="D493" s="592"/>
      <c r="E493" s="592"/>
      <c r="F493" s="592"/>
      <c r="G493" s="592"/>
      <c r="H493" s="592"/>
      <c r="I493" s="592"/>
      <c r="J493" s="592"/>
    </row>
    <row r="494" spans="1:10">
      <c r="A494" s="592"/>
      <c r="B494" s="592"/>
      <c r="C494" s="592"/>
      <c r="D494" s="592"/>
      <c r="E494" s="592"/>
      <c r="F494" s="592"/>
      <c r="G494" s="592"/>
      <c r="H494" s="592"/>
      <c r="I494" s="592"/>
      <c r="J494" s="592"/>
    </row>
    <row r="495" spans="1:10">
      <c r="A495" s="592"/>
      <c r="B495" s="592"/>
      <c r="C495" s="592"/>
      <c r="D495" s="592"/>
      <c r="E495" s="592"/>
      <c r="F495" s="592"/>
      <c r="G495" s="592"/>
      <c r="H495" s="592"/>
      <c r="I495" s="592"/>
      <c r="J495" s="592"/>
    </row>
    <row r="496" spans="1:10">
      <c r="A496" s="592"/>
      <c r="B496" s="592"/>
      <c r="C496" s="592"/>
      <c r="D496" s="592"/>
      <c r="E496" s="592"/>
      <c r="F496" s="592"/>
      <c r="G496" s="592"/>
      <c r="H496" s="592"/>
      <c r="I496" s="592"/>
      <c r="J496" s="592"/>
    </row>
    <row r="497" spans="1:10">
      <c r="A497" s="592"/>
      <c r="B497" s="592"/>
      <c r="C497" s="592"/>
      <c r="D497" s="592"/>
      <c r="E497" s="592"/>
      <c r="F497" s="592"/>
      <c r="G497" s="592"/>
      <c r="H497" s="592"/>
      <c r="I497" s="592"/>
      <c r="J497" s="592"/>
    </row>
    <row r="498" spans="1:10">
      <c r="A498" s="592"/>
      <c r="B498" s="592"/>
      <c r="C498" s="592"/>
      <c r="D498" s="592"/>
      <c r="E498" s="592"/>
      <c r="F498" s="592"/>
      <c r="G498" s="592"/>
      <c r="H498" s="592"/>
      <c r="I498" s="592"/>
      <c r="J498" s="592"/>
    </row>
    <row r="499" spans="1:10">
      <c r="A499" s="592"/>
      <c r="B499" s="592"/>
      <c r="C499" s="592"/>
      <c r="D499" s="592"/>
      <c r="E499" s="592"/>
      <c r="F499" s="592"/>
      <c r="G499" s="592"/>
      <c r="H499" s="592"/>
      <c r="I499" s="592"/>
      <c r="J499" s="592"/>
    </row>
    <row r="500" spans="1:10">
      <c r="A500" s="592"/>
      <c r="B500" s="592"/>
      <c r="C500" s="592"/>
      <c r="D500" s="592"/>
      <c r="E500" s="592"/>
      <c r="F500" s="592"/>
      <c r="G500" s="592"/>
      <c r="H500" s="592"/>
      <c r="I500" s="592"/>
      <c r="J500" s="592"/>
    </row>
    <row r="501" spans="1:10">
      <c r="A501" s="592"/>
      <c r="B501" s="592"/>
      <c r="C501" s="592"/>
      <c r="D501" s="592"/>
      <c r="E501" s="592"/>
      <c r="F501" s="592"/>
      <c r="G501" s="592"/>
      <c r="H501" s="592"/>
      <c r="I501" s="592"/>
      <c r="J501" s="592"/>
    </row>
    <row r="502" spans="1:10">
      <c r="A502" s="592"/>
      <c r="B502" s="592"/>
      <c r="C502" s="592"/>
      <c r="D502" s="592"/>
      <c r="E502" s="592"/>
      <c r="F502" s="592"/>
      <c r="G502" s="592"/>
      <c r="H502" s="592"/>
      <c r="I502" s="592"/>
      <c r="J502" s="592"/>
    </row>
    <row r="503" spans="1:10">
      <c r="A503" s="592"/>
      <c r="B503" s="592"/>
      <c r="C503" s="592"/>
      <c r="D503" s="592"/>
      <c r="E503" s="592"/>
      <c r="F503" s="592"/>
      <c r="G503" s="592"/>
      <c r="H503" s="592"/>
      <c r="I503" s="592"/>
      <c r="J503" s="592"/>
    </row>
    <row r="504" spans="1:10">
      <c r="A504" s="592"/>
      <c r="B504" s="592"/>
      <c r="C504" s="592"/>
      <c r="D504" s="592"/>
      <c r="E504" s="592"/>
      <c r="F504" s="592"/>
      <c r="G504" s="592"/>
      <c r="H504" s="592"/>
      <c r="I504" s="592"/>
      <c r="J504" s="592"/>
    </row>
    <row r="505" spans="1:10">
      <c r="A505" s="592"/>
      <c r="B505" s="592"/>
      <c r="C505" s="592"/>
      <c r="D505" s="592"/>
      <c r="E505" s="592"/>
      <c r="F505" s="592"/>
      <c r="G505" s="592"/>
      <c r="H505" s="592"/>
      <c r="I505" s="592"/>
      <c r="J505" s="592"/>
    </row>
    <row r="506" spans="1:10">
      <c r="A506" s="592"/>
      <c r="B506" s="592"/>
      <c r="C506" s="592"/>
      <c r="D506" s="592"/>
      <c r="E506" s="592"/>
      <c r="F506" s="592"/>
      <c r="G506" s="592"/>
      <c r="H506" s="592"/>
      <c r="I506" s="592"/>
      <c r="J506" s="592"/>
    </row>
    <row r="507" spans="1:10">
      <c r="A507" s="592"/>
      <c r="B507" s="592"/>
      <c r="C507" s="592"/>
      <c r="D507" s="592"/>
      <c r="E507" s="592"/>
      <c r="F507" s="592"/>
      <c r="G507" s="592"/>
      <c r="H507" s="592"/>
      <c r="I507" s="592"/>
      <c r="J507" s="592"/>
    </row>
    <row r="508" spans="1:10">
      <c r="A508" s="592"/>
      <c r="B508" s="592"/>
      <c r="C508" s="592"/>
      <c r="D508" s="592"/>
      <c r="E508" s="592"/>
      <c r="F508" s="592"/>
      <c r="G508" s="592"/>
      <c r="H508" s="592"/>
      <c r="I508" s="592"/>
      <c r="J508" s="592"/>
    </row>
    <row r="509" spans="1:10">
      <c r="A509" s="592"/>
      <c r="B509" s="592"/>
      <c r="C509" s="592"/>
      <c r="D509" s="592"/>
      <c r="E509" s="592"/>
      <c r="F509" s="592"/>
      <c r="G509" s="592"/>
      <c r="H509" s="592"/>
      <c r="I509" s="592"/>
      <c r="J509" s="592"/>
    </row>
    <row r="510" spans="1:10">
      <c r="A510" s="592"/>
      <c r="B510" s="592"/>
      <c r="C510" s="592"/>
      <c r="D510" s="592"/>
      <c r="E510" s="592"/>
      <c r="F510" s="592"/>
      <c r="G510" s="592"/>
      <c r="H510" s="592"/>
      <c r="I510" s="592"/>
      <c r="J510" s="592"/>
    </row>
    <row r="511" spans="1:10">
      <c r="A511" s="592"/>
      <c r="B511" s="592"/>
      <c r="C511" s="592"/>
      <c r="D511" s="592"/>
      <c r="E511" s="592"/>
      <c r="F511" s="592"/>
      <c r="G511" s="592"/>
      <c r="H511" s="592"/>
      <c r="I511" s="592"/>
      <c r="J511" s="592"/>
    </row>
    <row r="512" spans="1:10">
      <c r="A512" s="592"/>
      <c r="B512" s="592"/>
      <c r="C512" s="592"/>
      <c r="D512" s="592"/>
      <c r="E512" s="592"/>
      <c r="F512" s="592"/>
      <c r="G512" s="592"/>
      <c r="H512" s="592"/>
      <c r="I512" s="592"/>
      <c r="J512" s="592"/>
    </row>
    <row r="513" spans="1:10">
      <c r="A513" s="592"/>
      <c r="B513" s="592"/>
      <c r="C513" s="592"/>
      <c r="D513" s="592"/>
      <c r="E513" s="592"/>
      <c r="F513" s="592"/>
      <c r="G513" s="592"/>
      <c r="H513" s="592"/>
      <c r="I513" s="592"/>
      <c r="J513" s="592"/>
    </row>
    <row r="514" spans="1:10">
      <c r="A514" s="592"/>
      <c r="B514" s="592"/>
      <c r="C514" s="592"/>
      <c r="D514" s="592"/>
      <c r="E514" s="592"/>
      <c r="F514" s="592"/>
      <c r="G514" s="592"/>
      <c r="H514" s="592"/>
      <c r="I514" s="592"/>
      <c r="J514" s="592"/>
    </row>
    <row r="515" spans="1:10">
      <c r="A515" s="592"/>
      <c r="B515" s="592"/>
      <c r="C515" s="592"/>
      <c r="D515" s="592"/>
      <c r="E515" s="592"/>
      <c r="F515" s="592"/>
      <c r="G515" s="592"/>
      <c r="H515" s="592"/>
      <c r="I515" s="592"/>
      <c r="J515" s="592"/>
    </row>
    <row r="516" spans="1:10">
      <c r="A516" s="592"/>
      <c r="B516" s="592"/>
      <c r="C516" s="592"/>
      <c r="D516" s="592"/>
      <c r="E516" s="592"/>
      <c r="F516" s="592"/>
      <c r="G516" s="592"/>
      <c r="H516" s="592"/>
      <c r="I516" s="592"/>
      <c r="J516" s="592"/>
    </row>
    <row r="517" spans="1:10">
      <c r="A517" s="592"/>
      <c r="B517" s="592"/>
      <c r="C517" s="592"/>
      <c r="D517" s="592"/>
      <c r="E517" s="592"/>
      <c r="F517" s="592"/>
      <c r="G517" s="592"/>
      <c r="H517" s="592"/>
      <c r="I517" s="592"/>
      <c r="J517" s="592"/>
    </row>
    <row r="518" spans="1:10">
      <c r="A518" s="592"/>
      <c r="B518" s="592"/>
      <c r="C518" s="592"/>
      <c r="D518" s="592"/>
      <c r="E518" s="592"/>
      <c r="F518" s="592"/>
      <c r="G518" s="592"/>
      <c r="H518" s="592"/>
      <c r="I518" s="592"/>
      <c r="J518" s="592"/>
    </row>
    <row r="519" spans="1:10">
      <c r="A519" s="592"/>
      <c r="B519" s="592"/>
      <c r="C519" s="592"/>
      <c r="D519" s="592"/>
      <c r="E519" s="592"/>
      <c r="F519" s="592"/>
      <c r="G519" s="592"/>
      <c r="H519" s="592"/>
      <c r="I519" s="592"/>
      <c r="J519" s="592"/>
    </row>
    <row r="520" spans="1:10">
      <c r="A520" s="592"/>
      <c r="B520" s="592"/>
      <c r="C520" s="592"/>
      <c r="D520" s="592"/>
      <c r="E520" s="592"/>
      <c r="F520" s="592"/>
      <c r="G520" s="592"/>
      <c r="H520" s="592"/>
      <c r="I520" s="592"/>
      <c r="J520" s="592"/>
    </row>
    <row r="521" spans="1:10">
      <c r="A521" s="592"/>
      <c r="B521" s="592"/>
      <c r="C521" s="592"/>
      <c r="D521" s="592"/>
      <c r="E521" s="592"/>
      <c r="F521" s="592"/>
      <c r="G521" s="592"/>
      <c r="H521" s="592"/>
      <c r="I521" s="592"/>
      <c r="J521" s="592"/>
    </row>
    <row r="522" spans="1:10">
      <c r="A522" s="592"/>
      <c r="B522" s="592"/>
      <c r="C522" s="592"/>
      <c r="D522" s="592"/>
      <c r="E522" s="592"/>
      <c r="F522" s="592"/>
      <c r="G522" s="592"/>
      <c r="H522" s="592"/>
      <c r="I522" s="592"/>
      <c r="J522" s="592"/>
    </row>
    <row r="523" spans="1:10">
      <c r="A523" s="592"/>
      <c r="B523" s="592"/>
      <c r="C523" s="592"/>
      <c r="D523" s="592"/>
      <c r="E523" s="592"/>
      <c r="F523" s="592"/>
      <c r="G523" s="592"/>
      <c r="H523" s="592"/>
      <c r="I523" s="592"/>
      <c r="J523" s="592"/>
    </row>
    <row r="524" spans="1:10">
      <c r="A524" s="592"/>
      <c r="B524" s="592"/>
      <c r="C524" s="592"/>
      <c r="D524" s="592"/>
      <c r="E524" s="592"/>
      <c r="F524" s="592"/>
      <c r="G524" s="592"/>
      <c r="H524" s="592"/>
      <c r="I524" s="592"/>
      <c r="J524" s="592"/>
    </row>
    <row r="525" spans="1:10">
      <c r="A525" s="592"/>
      <c r="B525" s="592"/>
      <c r="C525" s="592"/>
      <c r="D525" s="592"/>
      <c r="E525" s="592"/>
      <c r="F525" s="592"/>
      <c r="G525" s="592"/>
      <c r="H525" s="592"/>
      <c r="I525" s="592"/>
      <c r="J525" s="592"/>
    </row>
    <row r="526" spans="1:10">
      <c r="A526" s="592"/>
      <c r="B526" s="592"/>
      <c r="C526" s="592"/>
      <c r="D526" s="592"/>
      <c r="E526" s="592"/>
      <c r="F526" s="592"/>
      <c r="G526" s="592"/>
      <c r="H526" s="592"/>
      <c r="I526" s="592"/>
      <c r="J526" s="592"/>
    </row>
    <row r="527" spans="1:10">
      <c r="A527" s="592"/>
      <c r="B527" s="592"/>
      <c r="C527" s="592"/>
      <c r="D527" s="592"/>
      <c r="E527" s="592"/>
      <c r="F527" s="592"/>
      <c r="G527" s="592"/>
      <c r="H527" s="592"/>
      <c r="I527" s="592"/>
      <c r="J527" s="592"/>
    </row>
    <row r="528" spans="1:10">
      <c r="A528" s="592"/>
      <c r="B528" s="592"/>
      <c r="C528" s="592"/>
      <c r="D528" s="592"/>
      <c r="E528" s="592"/>
      <c r="F528" s="592"/>
      <c r="G528" s="592"/>
      <c r="H528" s="592"/>
      <c r="I528" s="592"/>
      <c r="J528" s="592"/>
    </row>
    <row r="529" spans="1:10">
      <c r="A529" s="592"/>
      <c r="B529" s="592"/>
      <c r="C529" s="592"/>
      <c r="D529" s="592"/>
      <c r="E529" s="592"/>
      <c r="F529" s="592"/>
      <c r="G529" s="592"/>
      <c r="H529" s="592"/>
      <c r="I529" s="592"/>
      <c r="J529" s="592"/>
    </row>
    <row r="530" spans="1:10">
      <c r="A530" s="592"/>
      <c r="B530" s="592"/>
      <c r="C530" s="592"/>
      <c r="D530" s="592"/>
      <c r="E530" s="592"/>
      <c r="F530" s="592"/>
      <c r="G530" s="592"/>
      <c r="H530" s="592"/>
      <c r="I530" s="592"/>
      <c r="J530" s="592"/>
    </row>
    <row r="531" spans="1:10">
      <c r="A531" s="592"/>
      <c r="B531" s="592"/>
      <c r="C531" s="592"/>
      <c r="D531" s="592"/>
      <c r="E531" s="592"/>
      <c r="F531" s="592"/>
      <c r="G531" s="592"/>
      <c r="H531" s="592"/>
      <c r="I531" s="592"/>
      <c r="J531" s="592"/>
    </row>
    <row r="532" spans="1:10">
      <c r="A532" s="592"/>
      <c r="B532" s="592"/>
      <c r="C532" s="592"/>
      <c r="D532" s="592"/>
      <c r="E532" s="592"/>
      <c r="F532" s="592"/>
      <c r="G532" s="592"/>
      <c r="H532" s="592"/>
      <c r="I532" s="592"/>
      <c r="J532" s="592"/>
    </row>
    <row r="533" spans="1:10">
      <c r="A533" s="592"/>
      <c r="B533" s="592"/>
      <c r="C533" s="592"/>
      <c r="D533" s="592"/>
      <c r="E533" s="592"/>
      <c r="F533" s="592"/>
      <c r="G533" s="592"/>
      <c r="H533" s="592"/>
      <c r="I533" s="592"/>
      <c r="J533" s="592"/>
    </row>
    <row r="534" spans="1:10">
      <c r="A534" s="592"/>
      <c r="B534" s="592"/>
      <c r="C534" s="592"/>
      <c r="D534" s="592"/>
      <c r="E534" s="592"/>
      <c r="F534" s="592"/>
      <c r="G534" s="592"/>
      <c r="H534" s="592"/>
      <c r="I534" s="592"/>
      <c r="J534" s="592"/>
    </row>
    <row r="535" spans="1:10">
      <c r="A535" s="592"/>
      <c r="B535" s="592"/>
      <c r="C535" s="592"/>
      <c r="D535" s="592"/>
      <c r="E535" s="592"/>
      <c r="F535" s="592"/>
      <c r="G535" s="592"/>
      <c r="H535" s="592"/>
      <c r="I535" s="592"/>
      <c r="J535" s="592"/>
    </row>
    <row r="536" spans="1:10">
      <c r="A536" s="592"/>
      <c r="B536" s="592"/>
      <c r="C536" s="592"/>
      <c r="D536" s="592"/>
      <c r="E536" s="592"/>
      <c r="F536" s="592"/>
      <c r="G536" s="592"/>
      <c r="H536" s="592"/>
      <c r="I536" s="592"/>
      <c r="J536" s="592"/>
    </row>
    <row r="537" spans="1:10">
      <c r="A537" s="592"/>
      <c r="B537" s="592"/>
      <c r="C537" s="592"/>
      <c r="D537" s="592"/>
      <c r="E537" s="592"/>
      <c r="F537" s="592"/>
      <c r="G537" s="592"/>
      <c r="H537" s="592"/>
      <c r="I537" s="592"/>
      <c r="J537" s="592"/>
    </row>
    <row r="538" spans="1:10">
      <c r="A538" s="592"/>
      <c r="B538" s="592"/>
      <c r="C538" s="592"/>
      <c r="D538" s="592"/>
      <c r="E538" s="592"/>
      <c r="F538" s="592"/>
      <c r="G538" s="592"/>
      <c r="H538" s="592"/>
      <c r="I538" s="592"/>
      <c r="J538" s="592"/>
    </row>
    <row r="539" spans="1:10">
      <c r="A539" s="592"/>
      <c r="B539" s="592"/>
      <c r="C539" s="592"/>
      <c r="D539" s="592"/>
      <c r="E539" s="592"/>
      <c r="F539" s="592"/>
      <c r="G539" s="592"/>
      <c r="H539" s="592"/>
      <c r="I539" s="592"/>
      <c r="J539" s="592"/>
    </row>
    <row r="540" spans="1:10">
      <c r="A540" s="592"/>
      <c r="B540" s="592"/>
      <c r="C540" s="592"/>
      <c r="D540" s="592"/>
      <c r="E540" s="592"/>
      <c r="F540" s="592"/>
      <c r="G540" s="592"/>
      <c r="H540" s="592"/>
      <c r="I540" s="592"/>
      <c r="J540" s="592"/>
    </row>
    <row r="541" spans="1:10">
      <c r="A541" s="592"/>
      <c r="B541" s="592"/>
      <c r="C541" s="592"/>
      <c r="D541" s="592"/>
      <c r="E541" s="592"/>
      <c r="F541" s="592"/>
      <c r="G541" s="592"/>
      <c r="H541" s="592"/>
      <c r="I541" s="592"/>
      <c r="J541" s="592"/>
    </row>
    <row r="542" spans="1:10">
      <c r="A542" s="592"/>
      <c r="B542" s="592"/>
      <c r="C542" s="592"/>
      <c r="D542" s="592"/>
      <c r="E542" s="592"/>
      <c r="F542" s="592"/>
      <c r="G542" s="592"/>
      <c r="H542" s="592"/>
      <c r="I542" s="592"/>
      <c r="J542" s="592"/>
    </row>
    <row r="543" spans="1:10">
      <c r="A543" s="592"/>
      <c r="B543" s="592"/>
      <c r="C543" s="592"/>
      <c r="D543" s="592"/>
      <c r="E543" s="592"/>
      <c r="F543" s="592"/>
      <c r="G543" s="592"/>
      <c r="H543" s="592"/>
      <c r="I543" s="592"/>
      <c r="J543" s="592"/>
    </row>
    <row r="544" spans="1:10">
      <c r="A544" s="592"/>
      <c r="B544" s="592"/>
      <c r="C544" s="592"/>
      <c r="D544" s="592"/>
      <c r="E544" s="592"/>
      <c r="F544" s="592"/>
      <c r="G544" s="592"/>
      <c r="H544" s="592"/>
      <c r="I544" s="592"/>
      <c r="J544" s="592"/>
    </row>
    <row r="545" spans="1:10">
      <c r="A545" s="592"/>
      <c r="B545" s="592"/>
      <c r="C545" s="592"/>
      <c r="D545" s="592"/>
      <c r="E545" s="592"/>
      <c r="F545" s="592"/>
      <c r="G545" s="592"/>
      <c r="H545" s="592"/>
      <c r="I545" s="592"/>
      <c r="J545" s="592"/>
    </row>
    <row r="546" spans="1:10">
      <c r="A546" s="592"/>
      <c r="B546" s="592"/>
      <c r="C546" s="592"/>
      <c r="D546" s="592"/>
      <c r="E546" s="592"/>
      <c r="F546" s="592"/>
      <c r="G546" s="592"/>
      <c r="H546" s="592"/>
      <c r="I546" s="592"/>
      <c r="J546" s="592"/>
    </row>
    <row r="547" spans="1:10">
      <c r="A547" s="592"/>
      <c r="B547" s="592"/>
      <c r="C547" s="592"/>
      <c r="D547" s="592"/>
      <c r="E547" s="592"/>
      <c r="F547" s="592"/>
      <c r="G547" s="592"/>
      <c r="H547" s="592"/>
      <c r="I547" s="592"/>
      <c r="J547" s="592"/>
    </row>
    <row r="548" spans="1:10">
      <c r="A548" s="592"/>
      <c r="B548" s="592"/>
      <c r="C548" s="592"/>
      <c r="D548" s="592"/>
      <c r="E548" s="592"/>
      <c r="F548" s="592"/>
      <c r="G548" s="592"/>
      <c r="H548" s="592"/>
      <c r="I548" s="592"/>
      <c r="J548" s="592"/>
    </row>
    <row r="549" spans="1:10">
      <c r="A549" s="592"/>
      <c r="B549" s="592"/>
      <c r="C549" s="592"/>
      <c r="D549" s="592"/>
      <c r="E549" s="592"/>
      <c r="F549" s="592"/>
      <c r="G549" s="592"/>
      <c r="H549" s="592"/>
      <c r="I549" s="592"/>
      <c r="J549" s="592"/>
    </row>
    <row r="550" spans="1:10">
      <c r="A550" s="592"/>
      <c r="B550" s="592"/>
      <c r="C550" s="592"/>
      <c r="D550" s="592"/>
      <c r="E550" s="592"/>
      <c r="F550" s="592"/>
      <c r="G550" s="592"/>
      <c r="H550" s="592"/>
      <c r="I550" s="592"/>
      <c r="J550" s="592"/>
    </row>
    <row r="551" spans="1:10">
      <c r="A551" s="592"/>
      <c r="B551" s="592"/>
      <c r="C551" s="592"/>
      <c r="D551" s="592"/>
      <c r="E551" s="592"/>
      <c r="F551" s="592"/>
      <c r="G551" s="592"/>
      <c r="H551" s="592"/>
      <c r="I551" s="592"/>
      <c r="J551" s="592"/>
    </row>
    <row r="552" spans="1:10">
      <c r="A552" s="592"/>
      <c r="B552" s="592"/>
      <c r="C552" s="592"/>
      <c r="D552" s="592"/>
      <c r="E552" s="592"/>
      <c r="F552" s="592"/>
      <c r="G552" s="592"/>
      <c r="H552" s="592"/>
      <c r="I552" s="592"/>
      <c r="J552" s="592"/>
    </row>
    <row r="553" spans="1:10">
      <c r="A553" s="592"/>
      <c r="B553" s="592"/>
      <c r="C553" s="592"/>
      <c r="D553" s="592"/>
      <c r="E553" s="592"/>
      <c r="F553" s="592"/>
      <c r="G553" s="592"/>
      <c r="H553" s="592"/>
      <c r="I553" s="592"/>
      <c r="J553" s="592"/>
    </row>
    <row r="554" spans="1:10">
      <c r="A554" s="592"/>
      <c r="B554" s="592"/>
      <c r="C554" s="592"/>
      <c r="D554" s="592"/>
      <c r="E554" s="592"/>
      <c r="F554" s="592"/>
      <c r="G554" s="592"/>
      <c r="H554" s="592"/>
      <c r="I554" s="592"/>
      <c r="J554" s="592"/>
    </row>
    <row r="555" spans="1:10">
      <c r="A555" s="592"/>
      <c r="B555" s="592"/>
      <c r="C555" s="592"/>
      <c r="D555" s="592"/>
      <c r="E555" s="592"/>
      <c r="F555" s="592"/>
      <c r="G555" s="592"/>
      <c r="H555" s="592"/>
      <c r="I555" s="592"/>
      <c r="J555" s="592"/>
    </row>
    <row r="556" spans="1:10">
      <c r="A556" s="592"/>
      <c r="B556" s="592"/>
      <c r="C556" s="592"/>
      <c r="D556" s="592"/>
      <c r="E556" s="592"/>
      <c r="F556" s="592"/>
      <c r="G556" s="592"/>
      <c r="H556" s="592"/>
      <c r="I556" s="592"/>
      <c r="J556" s="592"/>
    </row>
    <row r="557" spans="1:10">
      <c r="A557" s="592"/>
      <c r="B557" s="592"/>
      <c r="C557" s="592"/>
      <c r="D557" s="592"/>
      <c r="E557" s="592"/>
      <c r="F557" s="592"/>
      <c r="G557" s="592"/>
      <c r="H557" s="592"/>
      <c r="I557" s="592"/>
      <c r="J557" s="592"/>
    </row>
    <row r="558" spans="1:10">
      <c r="A558" s="592"/>
      <c r="B558" s="592"/>
      <c r="C558" s="592"/>
      <c r="D558" s="592"/>
      <c r="E558" s="592"/>
      <c r="F558" s="592"/>
      <c r="G558" s="592"/>
      <c r="H558" s="592"/>
      <c r="I558" s="592"/>
      <c r="J558" s="592"/>
    </row>
    <row r="559" spans="1:10">
      <c r="A559" s="592"/>
      <c r="B559" s="592"/>
      <c r="C559" s="592"/>
      <c r="D559" s="592"/>
      <c r="E559" s="592"/>
      <c r="F559" s="592"/>
      <c r="G559" s="592"/>
      <c r="H559" s="592"/>
      <c r="I559" s="592"/>
      <c r="J559" s="592"/>
    </row>
    <row r="560" spans="1:10">
      <c r="A560" s="592"/>
      <c r="B560" s="592"/>
      <c r="C560" s="592"/>
      <c r="D560" s="592"/>
      <c r="E560" s="592"/>
      <c r="F560" s="592"/>
      <c r="G560" s="592"/>
      <c r="H560" s="592"/>
      <c r="I560" s="592"/>
      <c r="J560" s="592"/>
    </row>
    <row r="561" spans="1:10">
      <c r="A561" s="592"/>
      <c r="B561" s="592"/>
      <c r="C561" s="592"/>
      <c r="D561" s="592"/>
      <c r="E561" s="592"/>
      <c r="F561" s="592"/>
      <c r="G561" s="592"/>
      <c r="H561" s="592"/>
      <c r="I561" s="592"/>
      <c r="J561" s="592"/>
    </row>
    <row r="562" spans="1:10">
      <c r="A562" s="592"/>
      <c r="B562" s="592"/>
      <c r="C562" s="592"/>
      <c r="D562" s="592"/>
      <c r="E562" s="592"/>
      <c r="F562" s="592"/>
      <c r="G562" s="592"/>
      <c r="H562" s="592"/>
      <c r="I562" s="592"/>
      <c r="J562" s="592"/>
    </row>
    <row r="563" spans="1:10">
      <c r="A563" s="592"/>
      <c r="B563" s="592"/>
      <c r="C563" s="592"/>
      <c r="D563" s="592"/>
      <c r="E563" s="592"/>
      <c r="F563" s="592"/>
      <c r="G563" s="592"/>
      <c r="H563" s="592"/>
      <c r="I563" s="592"/>
      <c r="J563" s="592"/>
    </row>
    <row r="564" spans="1:10">
      <c r="A564" s="592"/>
      <c r="B564" s="592"/>
      <c r="C564" s="592"/>
      <c r="D564" s="592"/>
      <c r="E564" s="592"/>
      <c r="F564" s="592"/>
      <c r="G564" s="592"/>
      <c r="H564" s="592"/>
      <c r="I564" s="592"/>
      <c r="J564" s="592"/>
    </row>
    <row r="565" spans="1:10">
      <c r="A565" s="592"/>
      <c r="B565" s="592"/>
      <c r="C565" s="592"/>
      <c r="D565" s="592"/>
      <c r="E565" s="592"/>
      <c r="F565" s="592"/>
      <c r="G565" s="592"/>
      <c r="H565" s="592"/>
      <c r="I565" s="592"/>
      <c r="J565" s="592"/>
    </row>
    <row r="566" spans="1:10">
      <c r="A566" s="592"/>
      <c r="B566" s="592"/>
      <c r="C566" s="592"/>
      <c r="D566" s="592"/>
      <c r="E566" s="592"/>
      <c r="F566" s="592"/>
      <c r="G566" s="592"/>
      <c r="H566" s="592"/>
      <c r="I566" s="592"/>
      <c r="J566" s="592"/>
    </row>
    <row r="567" spans="1:10">
      <c r="A567" s="592"/>
      <c r="B567" s="592"/>
      <c r="C567" s="592"/>
      <c r="D567" s="592"/>
      <c r="E567" s="592"/>
      <c r="F567" s="592"/>
      <c r="G567" s="592"/>
      <c r="H567" s="592"/>
      <c r="I567" s="592"/>
      <c r="J567" s="592"/>
    </row>
    <row r="568" spans="1:10">
      <c r="A568" s="592"/>
      <c r="B568" s="592"/>
      <c r="C568" s="592"/>
      <c r="D568" s="592"/>
      <c r="E568" s="592"/>
      <c r="F568" s="592"/>
      <c r="G568" s="592"/>
      <c r="H568" s="592"/>
      <c r="I568" s="592"/>
      <c r="J568" s="592"/>
    </row>
    <row r="569" spans="1:10">
      <c r="A569" s="592"/>
      <c r="B569" s="592"/>
      <c r="C569" s="592"/>
      <c r="D569" s="592"/>
      <c r="E569" s="592"/>
      <c r="F569" s="592"/>
      <c r="G569" s="592"/>
      <c r="H569" s="592"/>
      <c r="I569" s="592"/>
      <c r="J569" s="592"/>
    </row>
    <row r="570" spans="1:10">
      <c r="A570" s="592"/>
      <c r="B570" s="592"/>
      <c r="C570" s="592"/>
      <c r="D570" s="592"/>
      <c r="E570" s="592"/>
      <c r="F570" s="592"/>
      <c r="G570" s="592"/>
      <c r="H570" s="592"/>
      <c r="I570" s="592"/>
      <c r="J570" s="592"/>
    </row>
    <row r="571" spans="1:10">
      <c r="A571" s="592"/>
      <c r="B571" s="592"/>
      <c r="C571" s="592"/>
      <c r="D571" s="592"/>
      <c r="E571" s="592"/>
      <c r="F571" s="592"/>
      <c r="G571" s="592"/>
      <c r="H571" s="592"/>
      <c r="I571" s="592"/>
      <c r="J571" s="592"/>
    </row>
    <row r="572" spans="1:10">
      <c r="A572" s="592"/>
      <c r="B572" s="592"/>
      <c r="C572" s="592"/>
      <c r="D572" s="592"/>
      <c r="E572" s="592"/>
      <c r="F572" s="592"/>
      <c r="G572" s="592"/>
      <c r="H572" s="592"/>
      <c r="I572" s="592"/>
      <c r="J572" s="592"/>
    </row>
    <row r="573" spans="1:10">
      <c r="A573" s="592"/>
      <c r="B573" s="592"/>
      <c r="C573" s="592"/>
      <c r="D573" s="592"/>
      <c r="E573" s="592"/>
      <c r="F573" s="592"/>
      <c r="G573" s="592"/>
      <c r="H573" s="592"/>
      <c r="I573" s="592"/>
      <c r="J573" s="592"/>
    </row>
    <row r="574" spans="1:10">
      <c r="A574" s="592"/>
      <c r="B574" s="592"/>
      <c r="C574" s="592"/>
      <c r="D574" s="592"/>
      <c r="E574" s="592"/>
      <c r="F574" s="592"/>
      <c r="G574" s="592"/>
      <c r="H574" s="592"/>
      <c r="I574" s="592"/>
      <c r="J574" s="592"/>
    </row>
    <row r="575" spans="1:10">
      <c r="A575" s="592"/>
      <c r="B575" s="592"/>
      <c r="C575" s="592"/>
      <c r="D575" s="592"/>
      <c r="E575" s="592"/>
      <c r="F575" s="592"/>
      <c r="G575" s="592"/>
      <c r="H575" s="592"/>
      <c r="I575" s="592"/>
      <c r="J575" s="592"/>
    </row>
    <row r="576" spans="1:10">
      <c r="A576" s="592"/>
      <c r="B576" s="592"/>
      <c r="C576" s="592"/>
      <c r="D576" s="592"/>
      <c r="E576" s="592"/>
      <c r="F576" s="592"/>
      <c r="G576" s="592"/>
      <c r="H576" s="592"/>
      <c r="I576" s="592"/>
      <c r="J576" s="592"/>
    </row>
    <row r="577" spans="1:10">
      <c r="A577" s="592"/>
      <c r="B577" s="592"/>
      <c r="C577" s="592"/>
      <c r="D577" s="592"/>
      <c r="E577" s="592"/>
      <c r="F577" s="592"/>
      <c r="G577" s="592"/>
      <c r="H577" s="592"/>
      <c r="I577" s="592"/>
      <c r="J577" s="592"/>
    </row>
    <row r="578" spans="1:10">
      <c r="A578" s="592"/>
      <c r="B578" s="592"/>
      <c r="C578" s="592"/>
      <c r="D578" s="592"/>
      <c r="E578" s="592"/>
      <c r="F578" s="592"/>
      <c r="G578" s="592"/>
      <c r="H578" s="592"/>
      <c r="I578" s="592"/>
      <c r="J578" s="592"/>
    </row>
    <row r="579" spans="1:10">
      <c r="A579" s="592"/>
      <c r="B579" s="592"/>
      <c r="C579" s="592"/>
      <c r="D579" s="592"/>
      <c r="E579" s="592"/>
      <c r="F579" s="592"/>
      <c r="G579" s="592"/>
      <c r="H579" s="592"/>
      <c r="I579" s="592"/>
      <c r="J579" s="592"/>
    </row>
    <row r="580" spans="1:10">
      <c r="A580" s="592"/>
      <c r="B580" s="592"/>
      <c r="C580" s="592"/>
      <c r="D580" s="592"/>
      <c r="E580" s="592"/>
      <c r="F580" s="592"/>
      <c r="G580" s="592"/>
      <c r="H580" s="592"/>
      <c r="I580" s="592"/>
      <c r="J580" s="592"/>
    </row>
    <row r="581" spans="1:10">
      <c r="A581" s="592"/>
      <c r="B581" s="592"/>
      <c r="C581" s="592"/>
      <c r="D581" s="592"/>
      <c r="E581" s="592"/>
      <c r="F581" s="592"/>
      <c r="G581" s="592"/>
      <c r="H581" s="592"/>
      <c r="I581" s="592"/>
      <c r="J581" s="592"/>
    </row>
    <row r="582" spans="1:10">
      <c r="A582" s="592"/>
      <c r="B582" s="592"/>
      <c r="C582" s="592"/>
      <c r="D582" s="592"/>
      <c r="E582" s="592"/>
      <c r="F582" s="592"/>
      <c r="G582" s="592"/>
      <c r="H582" s="592"/>
      <c r="I582" s="592"/>
      <c r="J582" s="592"/>
    </row>
    <row r="583" spans="1:10">
      <c r="A583" s="592"/>
      <c r="B583" s="592"/>
      <c r="C583" s="592"/>
      <c r="D583" s="592"/>
      <c r="E583" s="592"/>
      <c r="F583" s="592"/>
      <c r="G583" s="592"/>
      <c r="H583" s="592"/>
      <c r="I583" s="592"/>
      <c r="J583" s="592"/>
    </row>
    <row r="584" spans="1:10">
      <c r="A584" s="592"/>
      <c r="B584" s="592"/>
      <c r="C584" s="592"/>
      <c r="D584" s="592"/>
      <c r="E584" s="592"/>
      <c r="F584" s="592"/>
      <c r="G584" s="592"/>
      <c r="H584" s="592"/>
      <c r="I584" s="592"/>
      <c r="J584" s="592"/>
    </row>
    <row r="585" spans="1:10">
      <c r="A585" s="592"/>
      <c r="B585" s="592"/>
      <c r="C585" s="592"/>
      <c r="D585" s="592"/>
      <c r="E585" s="592"/>
      <c r="F585" s="592"/>
      <c r="G585" s="592"/>
      <c r="H585" s="592"/>
      <c r="I585" s="592"/>
      <c r="J585" s="592"/>
    </row>
    <row r="586" spans="1:10">
      <c r="A586" s="592"/>
      <c r="B586" s="592"/>
      <c r="C586" s="592"/>
      <c r="D586" s="592"/>
      <c r="E586" s="592"/>
      <c r="F586" s="592"/>
      <c r="G586" s="592"/>
      <c r="H586" s="592"/>
      <c r="I586" s="592"/>
      <c r="J586" s="592"/>
    </row>
    <row r="587" spans="1:10">
      <c r="A587" s="592"/>
      <c r="B587" s="592"/>
      <c r="C587" s="592"/>
      <c r="D587" s="592"/>
      <c r="E587" s="592"/>
      <c r="F587" s="592"/>
      <c r="G587" s="592"/>
      <c r="H587" s="592"/>
      <c r="I587" s="592"/>
      <c r="J587" s="592"/>
    </row>
    <row r="588" spans="1:10">
      <c r="A588" s="592"/>
      <c r="B588" s="592"/>
      <c r="C588" s="592"/>
      <c r="D588" s="592"/>
      <c r="E588" s="592"/>
      <c r="F588" s="592"/>
      <c r="G588" s="592"/>
      <c r="H588" s="592"/>
      <c r="I588" s="592"/>
      <c r="J588" s="592"/>
    </row>
    <row r="589" spans="1:10">
      <c r="A589" s="592"/>
      <c r="B589" s="592"/>
      <c r="C589" s="592"/>
      <c r="D589" s="592"/>
      <c r="E589" s="592"/>
      <c r="F589" s="592"/>
      <c r="G589" s="592"/>
      <c r="H589" s="592"/>
      <c r="I589" s="592"/>
      <c r="J589" s="592"/>
    </row>
    <row r="590" spans="1:10">
      <c r="A590" s="592"/>
      <c r="B590" s="592"/>
      <c r="C590" s="592"/>
      <c r="D590" s="592"/>
      <c r="E590" s="592"/>
      <c r="F590" s="592"/>
      <c r="G590" s="592"/>
      <c r="H590" s="592"/>
      <c r="I590" s="592"/>
      <c r="J590" s="592"/>
    </row>
    <row r="591" spans="1:10">
      <c r="A591" s="592"/>
      <c r="B591" s="592"/>
      <c r="C591" s="592"/>
      <c r="D591" s="592"/>
      <c r="E591" s="592"/>
      <c r="F591" s="592"/>
      <c r="G591" s="592"/>
      <c r="H591" s="592"/>
      <c r="I591" s="592"/>
      <c r="J591" s="592"/>
    </row>
    <row r="592" spans="1:10">
      <c r="A592" s="592"/>
      <c r="B592" s="592"/>
      <c r="C592" s="592"/>
      <c r="D592" s="592"/>
      <c r="E592" s="592"/>
      <c r="F592" s="592"/>
      <c r="G592" s="592"/>
      <c r="H592" s="592"/>
      <c r="I592" s="592"/>
      <c r="J592" s="592"/>
    </row>
    <row r="593" spans="1:10">
      <c r="A593" s="592"/>
      <c r="B593" s="592"/>
      <c r="C593" s="592"/>
      <c r="D593" s="592"/>
      <c r="E593" s="592"/>
      <c r="F593" s="592"/>
      <c r="G593" s="592"/>
      <c r="H593" s="592"/>
      <c r="I593" s="592"/>
      <c r="J593" s="592"/>
    </row>
    <row r="594" spans="1:10">
      <c r="A594" s="592"/>
      <c r="B594" s="592"/>
      <c r="C594" s="592"/>
      <c r="D594" s="592"/>
      <c r="E594" s="592"/>
      <c r="F594" s="592"/>
      <c r="G594" s="592"/>
      <c r="H594" s="592"/>
      <c r="I594" s="592"/>
      <c r="J594" s="592"/>
    </row>
    <row r="595" spans="1:10">
      <c r="A595" s="592"/>
      <c r="B595" s="592"/>
      <c r="C595" s="592"/>
      <c r="D595" s="592"/>
      <c r="E595" s="592"/>
      <c r="F595" s="592"/>
      <c r="G595" s="592"/>
      <c r="H595" s="592"/>
      <c r="I595" s="592"/>
      <c r="J595" s="592"/>
    </row>
    <row r="596" spans="1:10">
      <c r="A596" s="592"/>
      <c r="B596" s="592"/>
      <c r="C596" s="592"/>
      <c r="D596" s="592"/>
      <c r="E596" s="592"/>
      <c r="F596" s="592"/>
      <c r="G596" s="592"/>
      <c r="H596" s="592"/>
      <c r="I596" s="592"/>
      <c r="J596" s="592"/>
    </row>
    <row r="597" spans="1:10">
      <c r="A597" s="592"/>
      <c r="B597" s="592"/>
      <c r="C597" s="592"/>
      <c r="D597" s="592"/>
      <c r="E597" s="592"/>
      <c r="F597" s="592"/>
      <c r="G597" s="592"/>
      <c r="H597" s="592"/>
      <c r="I597" s="592"/>
      <c r="J597" s="592"/>
    </row>
    <row r="598" spans="1:10">
      <c r="A598" s="592"/>
      <c r="B598" s="592"/>
      <c r="C598" s="592"/>
      <c r="D598" s="592"/>
      <c r="E598" s="592"/>
      <c r="F598" s="592"/>
      <c r="G598" s="592"/>
      <c r="H598" s="592"/>
      <c r="I598" s="592"/>
      <c r="J598" s="592"/>
    </row>
    <row r="599" spans="1:10">
      <c r="A599" s="592"/>
      <c r="B599" s="592"/>
      <c r="C599" s="592"/>
      <c r="D599" s="592"/>
      <c r="E599" s="592"/>
      <c r="F599" s="592"/>
      <c r="G599" s="592"/>
      <c r="H599" s="592"/>
      <c r="I599" s="592"/>
      <c r="J599" s="592"/>
    </row>
    <row r="600" spans="1:10">
      <c r="A600" s="592"/>
      <c r="B600" s="592"/>
      <c r="C600" s="592"/>
      <c r="D600" s="592"/>
      <c r="E600" s="592"/>
      <c r="F600" s="592"/>
      <c r="G600" s="592"/>
      <c r="H600" s="592"/>
      <c r="I600" s="592"/>
      <c r="J600" s="592"/>
    </row>
    <row r="601" spans="1:10">
      <c r="A601" s="592"/>
      <c r="B601" s="592"/>
      <c r="C601" s="592"/>
      <c r="D601" s="592"/>
      <c r="E601" s="592"/>
      <c r="F601" s="592"/>
      <c r="G601" s="592"/>
      <c r="H601" s="592"/>
      <c r="I601" s="592"/>
      <c r="J601" s="592"/>
    </row>
    <row r="602" spans="1:10">
      <c r="A602" s="592"/>
      <c r="B602" s="592"/>
      <c r="C602" s="592"/>
      <c r="D602" s="592"/>
      <c r="E602" s="592"/>
      <c r="F602" s="592"/>
      <c r="G602" s="592"/>
      <c r="H602" s="592"/>
      <c r="I602" s="592"/>
      <c r="J602" s="592"/>
    </row>
    <row r="603" spans="1:10">
      <c r="A603" s="592"/>
      <c r="B603" s="592"/>
      <c r="C603" s="592"/>
      <c r="D603" s="592"/>
      <c r="E603" s="592"/>
      <c r="F603" s="592"/>
      <c r="G603" s="592"/>
      <c r="H603" s="592"/>
      <c r="I603" s="592"/>
      <c r="J603" s="592"/>
    </row>
    <row r="604" spans="1:10">
      <c r="A604" s="592"/>
      <c r="B604" s="592"/>
      <c r="C604" s="592"/>
      <c r="D604" s="592"/>
      <c r="E604" s="592"/>
      <c r="F604" s="592"/>
      <c r="G604" s="592"/>
      <c r="H604" s="592"/>
      <c r="I604" s="592"/>
      <c r="J604" s="592"/>
    </row>
  </sheetData>
  <dataConsolidate/>
  <mergeCells count="126">
    <mergeCell ref="AF110:AG110"/>
    <mergeCell ref="AF103:AG103"/>
    <mergeCell ref="L7:M7"/>
    <mergeCell ref="L8:M8"/>
    <mergeCell ref="L9:M9"/>
    <mergeCell ref="L10:M10"/>
    <mergeCell ref="L11:M11"/>
    <mergeCell ref="L12:M12"/>
    <mergeCell ref="L13:M13"/>
    <mergeCell ref="S8:U8"/>
    <mergeCell ref="N14:Q14"/>
    <mergeCell ref="P76:Q76"/>
    <mergeCell ref="X45:X46"/>
    <mergeCell ref="Z45:Z46"/>
    <mergeCell ref="S75:U75"/>
    <mergeCell ref="Y45:Y46"/>
    <mergeCell ref="AD91:AE91"/>
    <mergeCell ref="AF91:AG91"/>
    <mergeCell ref="AB91:AC91"/>
    <mergeCell ref="AB103:AC103"/>
    <mergeCell ref="U87:V87"/>
    <mergeCell ref="T84:X84"/>
    <mergeCell ref="S84:S85"/>
    <mergeCell ref="U86:V86"/>
    <mergeCell ref="U88:V88"/>
    <mergeCell ref="A57:E57"/>
    <mergeCell ref="A64:F64"/>
    <mergeCell ref="B28:C28"/>
    <mergeCell ref="B29:C29"/>
    <mergeCell ref="B48:C48"/>
    <mergeCell ref="N6:Q6"/>
    <mergeCell ref="N7:Q7"/>
    <mergeCell ref="N8:Q8"/>
    <mergeCell ref="N9:Q9"/>
    <mergeCell ref="N10:Q10"/>
    <mergeCell ref="N11:Q11"/>
    <mergeCell ref="N12:Q12"/>
    <mergeCell ref="N13:Q13"/>
    <mergeCell ref="A11:C11"/>
    <mergeCell ref="D24:E24"/>
    <mergeCell ref="A21:C21"/>
    <mergeCell ref="A22:C22"/>
    <mergeCell ref="L14:M14"/>
    <mergeCell ref="AB84:AB85"/>
    <mergeCell ref="AI42:AM42"/>
    <mergeCell ref="AG5:AJ6"/>
    <mergeCell ref="AC6:AE6"/>
    <mergeCell ref="AC84:AF84"/>
    <mergeCell ref="S29:W29"/>
    <mergeCell ref="W8:Y8"/>
    <mergeCell ref="AR18:AS18"/>
    <mergeCell ref="AR23:AS23"/>
    <mergeCell ref="AR28:AS28"/>
    <mergeCell ref="AC14:AE14"/>
    <mergeCell ref="AR34:AS34"/>
    <mergeCell ref="T30:T31"/>
    <mergeCell ref="AC11:AE11"/>
    <mergeCell ref="AG18:AH18"/>
    <mergeCell ref="AG23:AH23"/>
    <mergeCell ref="S17:U17"/>
    <mergeCell ref="AI43:AO43"/>
    <mergeCell ref="AP43:AX43"/>
    <mergeCell ref="S55:W55"/>
    <mergeCell ref="T56:T57"/>
    <mergeCell ref="U56:X56"/>
    <mergeCell ref="AD45:AF45"/>
    <mergeCell ref="B91:C91"/>
    <mergeCell ref="A81:E81"/>
    <mergeCell ref="A85:J85"/>
    <mergeCell ref="A80:J80"/>
    <mergeCell ref="H65:J65"/>
    <mergeCell ref="A74:J74"/>
    <mergeCell ref="A63:J63"/>
    <mergeCell ref="D75:G75"/>
    <mergeCell ref="A68:C68"/>
    <mergeCell ref="H81:J81"/>
    <mergeCell ref="D68:F68"/>
    <mergeCell ref="D78:E78"/>
    <mergeCell ref="BI5:BL5"/>
    <mergeCell ref="H75:J75"/>
    <mergeCell ref="I1:J2"/>
    <mergeCell ref="A3:J3"/>
    <mergeCell ref="B5:C5"/>
    <mergeCell ref="D5:E5"/>
    <mergeCell ref="B6:C6"/>
    <mergeCell ref="D6:E6"/>
    <mergeCell ref="H53:J53"/>
    <mergeCell ref="W18:AB18"/>
    <mergeCell ref="AA65:AA66"/>
    <mergeCell ref="D25:E25"/>
    <mergeCell ref="A24:A25"/>
    <mergeCell ref="AG28:AH28"/>
    <mergeCell ref="AA45:AA46"/>
    <mergeCell ref="K67:K70"/>
    <mergeCell ref="L5:M5"/>
    <mergeCell ref="L6:M6"/>
    <mergeCell ref="AR5:AU6"/>
    <mergeCell ref="AB38:AB39"/>
    <mergeCell ref="AT39:AW39"/>
    <mergeCell ref="A49:J49"/>
    <mergeCell ref="A50:F50"/>
    <mergeCell ref="H50:I50"/>
    <mergeCell ref="AB108:AC108"/>
    <mergeCell ref="U91:Y91"/>
    <mergeCell ref="O92:Z92"/>
    <mergeCell ref="U98:W98"/>
    <mergeCell ref="A92:J92"/>
    <mergeCell ref="A8:A9"/>
    <mergeCell ref="A75:C75"/>
    <mergeCell ref="BC5:BH5"/>
    <mergeCell ref="BC6:BD6"/>
    <mergeCell ref="B27:C27"/>
    <mergeCell ref="N52:O52"/>
    <mergeCell ref="AI39:AL39"/>
    <mergeCell ref="AG34:AH34"/>
    <mergeCell ref="Z84:Z85"/>
    <mergeCell ref="V65:W65"/>
    <mergeCell ref="X65:X66"/>
    <mergeCell ref="Y65:Y66"/>
    <mergeCell ref="Z65:Z66"/>
    <mergeCell ref="U85:V85"/>
    <mergeCell ref="N51:O51"/>
    <mergeCell ref="AA38:AA39"/>
    <mergeCell ref="U30:X30"/>
    <mergeCell ref="W75:AE75"/>
    <mergeCell ref="V45:W45"/>
  </mergeCells>
  <conditionalFormatting sqref="G22:H22">
    <cfRule type="expression" dxfId="30" priority="117">
      <formula>$D$22="Yes"</formula>
    </cfRule>
  </conditionalFormatting>
  <conditionalFormatting sqref="U28 T19:U27 AD80 AS7:AT8 AZ24:AZ26 AT34 AW23 AA76:AA77 Y78 AA77:AB80 AQ12 Y20:Z25 Z26 AR9:AR15 AM46:AM245 AO46:AO245 AS15:AS16 AT12:AT14 AT9:AT10 BA20:BA22 BJ9:BN9 AO24:AO26 AI34 AL23 AG9:AG15 AH15:AH16 AI12:AI14 AI9:AI10 AP20:AP22">
    <cfRule type="expression" dxfId="29" priority="121">
      <formula>OR($D$22="No",$D$22="")</formula>
    </cfRule>
  </conditionalFormatting>
  <conditionalFormatting sqref="AH7:AI8">
    <cfRule type="expression" dxfId="28" priority="29">
      <formula>OR($D$22="No",$D$22="")</formula>
    </cfRule>
  </conditionalFormatting>
  <conditionalFormatting sqref="AB20:AB25">
    <cfRule type="expression" dxfId="27" priority="28">
      <formula>OR($D$22="No",$D$22="")</formula>
    </cfRule>
  </conditionalFormatting>
  <conditionalFormatting sqref="AA20:AA25">
    <cfRule type="expression" dxfId="26" priority="27">
      <formula>OR($D$22="No",$D$22="")</formula>
    </cfRule>
  </conditionalFormatting>
  <conditionalFormatting sqref="J54">
    <cfRule type="expression" dxfId="25" priority="164">
      <formula>$L$54&gt;0</formula>
    </cfRule>
  </conditionalFormatting>
  <conditionalFormatting sqref="BF9">
    <cfRule type="expression" dxfId="24" priority="19">
      <formula>OR($D$22="No",$D$22="")</formula>
    </cfRule>
  </conditionalFormatting>
  <conditionalFormatting sqref="BH9:BI9">
    <cfRule type="expression" dxfId="23" priority="18">
      <formula>OR($D$22="No",$D$22="")</formula>
    </cfRule>
  </conditionalFormatting>
  <conditionalFormatting sqref="BO40">
    <cfRule type="expression" dxfId="22" priority="17">
      <formula>OR($D$22="No",$D$22="")</formula>
    </cfRule>
  </conditionalFormatting>
  <conditionalFormatting sqref="BO9">
    <cfRule type="expression" dxfId="21" priority="15">
      <formula>OR($D$22="No",$D$22="")</formula>
    </cfRule>
  </conditionalFormatting>
  <conditionalFormatting sqref="BG9">
    <cfRule type="expression" dxfId="20" priority="14">
      <formula>OR($D$22="No",$D$22="")</formula>
    </cfRule>
  </conditionalFormatting>
  <conditionalFormatting sqref="J68">
    <cfRule type="expression" dxfId="19" priority="186">
      <formula>$L$68&gt;0</formula>
    </cfRule>
  </conditionalFormatting>
  <conditionalFormatting sqref="J55">
    <cfRule type="expression" dxfId="18" priority="12">
      <formula>$L$55&gt;0</formula>
    </cfRule>
  </conditionalFormatting>
  <conditionalFormatting sqref="J58">
    <cfRule type="expression" dxfId="17" priority="212">
      <formula>$L$58&gt;0</formula>
    </cfRule>
  </conditionalFormatting>
  <conditionalFormatting sqref="J56">
    <cfRule type="expression" dxfId="16" priority="216">
      <formula>$L$56&gt;0</formula>
    </cfRule>
  </conditionalFormatting>
  <conditionalFormatting sqref="J66">
    <cfRule type="expression" dxfId="15" priority="218">
      <formula>$L$66&gt;0</formula>
    </cfRule>
  </conditionalFormatting>
  <conditionalFormatting sqref="J67">
    <cfRule type="expression" dxfId="14" priority="223">
      <formula>$L$67&gt;0</formula>
    </cfRule>
  </conditionalFormatting>
  <conditionalFormatting sqref="J70">
    <cfRule type="expression" dxfId="13" priority="225">
      <formula>$L$70&gt;0</formula>
    </cfRule>
  </conditionalFormatting>
  <conditionalFormatting sqref="J71">
    <cfRule type="expression" dxfId="12" priority="227">
      <formula>$L$71&gt;0</formula>
    </cfRule>
  </conditionalFormatting>
  <conditionalFormatting sqref="J69">
    <cfRule type="expression" dxfId="11" priority="228">
      <formula>$L$69&gt;0</formula>
    </cfRule>
  </conditionalFormatting>
  <conditionalFormatting sqref="J57">
    <cfRule type="expression" dxfId="10" priority="232">
      <formula>$L$57&gt;0</formula>
    </cfRule>
  </conditionalFormatting>
  <conditionalFormatting sqref="J60">
    <cfRule type="expression" dxfId="9" priority="233">
      <formula>$L$60&gt;0</formula>
    </cfRule>
  </conditionalFormatting>
  <conditionalFormatting sqref="J59">
    <cfRule type="expression" dxfId="8" priority="234">
      <formula>$L$59&gt;0</formula>
    </cfRule>
  </conditionalFormatting>
  <conditionalFormatting sqref="J96">
    <cfRule type="expression" dxfId="7" priority="273">
      <formula>$M$96&gt;0</formula>
    </cfRule>
  </conditionalFormatting>
  <conditionalFormatting sqref="J95">
    <cfRule type="expression" dxfId="6" priority="275">
      <formula>$M$95&gt;0</formula>
    </cfRule>
  </conditionalFormatting>
  <conditionalFormatting sqref="J97">
    <cfRule type="expression" dxfId="5" priority="277">
      <formula>$M$97&gt;0</formula>
    </cfRule>
  </conditionalFormatting>
  <conditionalFormatting sqref="H95">
    <cfRule type="expression" dxfId="4" priority="278">
      <formula>$L$95&gt;0</formula>
    </cfRule>
  </conditionalFormatting>
  <conditionalFormatting sqref="J98">
    <cfRule type="expression" dxfId="3" priority="299">
      <formula>$M$98&gt;0</formula>
    </cfRule>
  </conditionalFormatting>
  <conditionalFormatting sqref="H96">
    <cfRule type="expression" dxfId="2" priority="300">
      <formula>$L$96&gt;0</formula>
    </cfRule>
  </conditionalFormatting>
  <conditionalFormatting sqref="H98">
    <cfRule type="expression" dxfId="1" priority="303">
      <formula>$L$98&gt;0</formula>
    </cfRule>
  </conditionalFormatting>
  <conditionalFormatting sqref="H97">
    <cfRule type="expression" dxfId="0" priority="304">
      <formula>L$97&gt;0</formula>
    </cfRule>
  </conditionalFormatting>
  <conditionalFormatting sqref="J61">
    <cfRule type="iconSet" priority="3">
      <iconSet iconSet="3Symbols" showValue="0">
        <cfvo type="percent" val="0"/>
        <cfvo type="num" val="0"/>
        <cfvo type="num" val="0"/>
      </iconSet>
    </cfRule>
  </conditionalFormatting>
  <conditionalFormatting sqref="J72">
    <cfRule type="iconSet" priority="2">
      <iconSet iconSet="3Symbols" showValue="0">
        <cfvo type="percent" val="0"/>
        <cfvo type="num" val="0"/>
        <cfvo type="num" val="0"/>
      </iconSet>
    </cfRule>
  </conditionalFormatting>
  <conditionalFormatting sqref="J78">
    <cfRule type="iconSet" priority="1">
      <iconSet iconSet="3Symbols" showValue="0">
        <cfvo type="percent" val="0"/>
        <cfvo type="num" val="0"/>
        <cfvo type="num" val="0"/>
      </iconSet>
    </cfRule>
  </conditionalFormatting>
  <dataValidations xWindow="492" yWindow="586" count="12">
    <dataValidation type="list" allowBlank="1" showInputMessage="1" showErrorMessage="1" sqref="B6:C6">
      <formula1>"Rootwad,Log Vane,Log Weir,Tree Revetment,In-Situ,Flow Deflection Jam,Full-Span Jam,Transport Jam"</formula1>
    </dataValidation>
    <dataValidation type="list" allowBlank="1" showInputMessage="1" showErrorMessage="1" errorTitle="Select from pulldown list" error="Select from pulldown list" promptTitle="Dropdown List" prompt="Select position of structure (looking downstream)" sqref="D6:E6">
      <formula1>"Left bank, Right bank, Mid-channel, Full span"</formula1>
    </dataValidation>
    <dataValidation type="list" allowBlank="1" showInputMessage="1" showErrorMessage="1" errorTitle="Select from pulldown list" error="Select from pulldown list" promptTitle="Dropdown List" prompt="Select Wood Species" sqref="A22:C22">
      <formula1>SelectedTrees</formula1>
    </dataValidation>
    <dataValidation type="list" allowBlank="1" showInputMessage="1" showErrorMessage="1" errorTitle="Select from pulldown list" error="Select from pulldown list" promptTitle="Dropdown List" prompt="Select Yes or No" sqref="D22">
      <formula1>"Yes,No"</formula1>
    </dataValidation>
    <dataValidation type="list" allowBlank="1" showInputMessage="1" showErrorMessage="1" errorTitle="Select from pulldown list" error="Select from pulldown list" promptTitle="Dropdown List" prompt="Select Site ID" sqref="A6">
      <formula1>SiteID</formula1>
    </dataValidation>
    <dataValidation type="list" allowBlank="1" showInputMessage="1" showErrorMessage="1" errorTitle="Select from pulldown list" error="Select from pulldown list" promptTitle="Dropdown List" prompt="Select position of structure on meander or straight reach" sqref="F6">
      <formula1>"Outside,Inside,Straight"</formula1>
    </dataValidation>
    <dataValidation type="list" allowBlank="1" showInputMessage="1" showErrorMessage="1" errorTitle="Select from dropdown list" error="Select from dropdown list" promptTitle="Dropdown List" prompt="Select a point on log to begin geometry calculations" sqref="D25:E25">
      <formula1>"Root collar: Crown,Root collar: Bottom,Stem tip: Crown,Stem tip: Bottom,Rootwad: Crown,Rootwad: Bottom"</formula1>
    </dataValidation>
    <dataValidation type="list" allowBlank="1" showInputMessage="1" showErrorMessage="1" errorTitle="Select from dropdown list" error="Select from dropdown list" promptTitle="Dropdown List" prompt="Select location of ajacent log with respect to the current design log" sqref="B95:B98">
      <formula1>"Above,Below,Behind,In front"</formula1>
    </dataValidation>
    <dataValidation type="list" allowBlank="1" showInputMessage="1" showErrorMessage="1" errorTitle="Select from dropdown list" error="Select from dropdown list" promptTitle="Dropdown List" prompt="Select type of connection between logs" sqref="C95:C98">
      <formula1>"Gravity, Pinned"</formula1>
    </dataValidation>
    <dataValidation type="list" allowBlank="1" showInputMessage="1" showErrorMessage="1" errorTitle="Select from pulldown list" error="Select from pulldown list" promptTitle="Dropdown List" prompt="Select position of log in multiple log structure, if applicable" sqref="B9">
      <formula1>"N/A,Key Log,Footer,Middle,Top"</formula1>
    </dataValidation>
    <dataValidation type="list" allowBlank="1" showInputMessage="1" showErrorMessage="1" errorTitle="Select from dropdown list" error="Select from dropdown list" promptTitle="Dropdown List" prompt="Select location of boulder with respect to the current design log" sqref="A87:A89">
      <formula1>"Above,Behind,Deadman"</formula1>
    </dataValidation>
    <dataValidation type="list" allowBlank="1" showInputMessage="1" showErrorMessage="1" errorTitle="Select from dropdown list" error="Select from dropdown list" promptTitle="Dropdown list" prompt="Select a type of mechanical anchor" sqref="G83:G84">
      <formula1>MechAnchors</formula1>
    </dataValidation>
  </dataValidations>
  <hyperlinks>
    <hyperlink ref="AX39" r:id="rId1"/>
    <hyperlink ref="AM39" r:id="rId2"/>
  </hyperlinks>
  <printOptions horizontalCentered="1"/>
  <pageMargins left="0.7" right="0.7" top="0.75" bottom="0.75" header="0.3" footer="0.3"/>
  <pageSetup scale="94" fitToHeight="0" orientation="portrait" horizontalDpi="4294967293" r:id="rId3"/>
  <headerFooter alignWithMargins="0"/>
  <rowBreaks count="2" manualBreakCount="2">
    <brk id="47" max="9" man="1"/>
    <brk id="90" max="9" man="1"/>
  </rowBreaks>
  <ignoredErrors>
    <ignoredError sqref="K10 AN45:AN245 J59" formula="1"/>
    <ignoredError sqref="BK30:BL40" evalError="1"/>
  </ignoredErrors>
  <drawing r:id="rId4"/>
  <legacyDrawing r:id="rId5"/>
  <extLst xmlns:x14="http://schemas.microsoft.com/office/spreadsheetml/2009/9/main">
    <ext uri="{78C0D931-6437-407d-A8EE-F0AAD7539E65}">
      <x14:conditionalFormattings>
        <x14:conditionalFormatting xmlns:xm="http://schemas.microsoft.com/office/excel/2006/main">
          <x14:cfRule type="iconSet" priority="20" id="{8C52A527-FC57-4542-ABA8-4AAF0F0AD237}">
            <x14:iconSet iconSet="3Symbols" showValue="0" custom="1">
              <x14:cfvo type="percent">
                <xm:f>0</xm:f>
              </x14:cfvo>
              <x14:cfvo type="num">
                <xm:f>0</xm:f>
              </x14:cfvo>
              <x14:cfvo type="num">
                <xm:f>0</xm:f>
              </x14:cfvo>
              <x14:cfIcon iconSet="3Symbols" iconId="0"/>
              <x14:cfIcon iconSet="3Symbols" iconId="0"/>
              <x14:cfIcon iconSet="3Symbols" iconId="2"/>
            </x14:iconSet>
          </x14:cfRule>
          <xm:sqref>J61</xm:sqref>
        </x14:conditionalFormatting>
        <x14:conditionalFormatting xmlns:xm="http://schemas.microsoft.com/office/excel/2006/main">
          <x14:cfRule type="iconSet" priority="19" id="{69ABB612-D947-4DFC-ACBB-E253DF46D0B2}">
            <x14:iconSet iconSet="3Symbols" showValue="0" custom="1">
              <x14:cfvo type="percent">
                <xm:f>0</xm:f>
              </x14:cfvo>
              <x14:cfvo type="num">
                <xm:f>0</xm:f>
              </x14:cfvo>
              <x14:cfvo type="num">
                <xm:f>0</xm:f>
              </x14:cfvo>
              <x14:cfIcon iconSet="3Symbols" iconId="0"/>
              <x14:cfIcon iconSet="3Symbols" iconId="0"/>
              <x14:cfIcon iconSet="3Symbols" iconId="2"/>
            </x14:iconSet>
          </x14:cfRule>
          <xm:sqref>J72</xm:sqref>
        </x14:conditionalFormatting>
        <x14:conditionalFormatting xmlns:xm="http://schemas.microsoft.com/office/excel/2006/main">
          <x14:cfRule type="iconSet" priority="18" id="{F9DF2986-F8B6-434D-9A09-6CC0D72B9DDD}">
            <x14:iconSet iconSet="3Symbols" showValue="0" custom="1">
              <x14:cfvo type="percent">
                <xm:f>0</xm:f>
              </x14:cfvo>
              <x14:cfvo type="num">
                <xm:f>0</xm:f>
              </x14:cfvo>
              <x14:cfvo type="num">
                <xm:f>0</xm:f>
              </x14:cfvo>
              <x14:cfIcon iconSet="3Symbols" iconId="0"/>
              <x14:cfIcon iconSet="3Symbols" iconId="0"/>
              <x14:cfIcon iconSet="3Symbols" iconId="2"/>
            </x14:iconSet>
          </x14:cfRule>
          <xm:sqref>J78</xm:sqref>
        </x14:conditionalFormatting>
      </x14:conditionalFormattings>
    </ext>
  </extLst>
</worksheet>
</file>

<file path=xl/worksheets/sheet8.xml><?xml version="1.0" encoding="utf-8"?>
<worksheet xmlns="http://schemas.openxmlformats.org/spreadsheetml/2006/main" xmlns:r="http://schemas.openxmlformats.org/officeDocument/2006/relationships">
  <sheetPr codeName="Sheet13">
    <pageSetUpPr fitToPage="1"/>
  </sheetPr>
  <dimension ref="A1:Q286"/>
  <sheetViews>
    <sheetView zoomScaleNormal="100" workbookViewId="0">
      <selection activeCell="A3" sqref="A3"/>
    </sheetView>
  </sheetViews>
  <sheetFormatPr defaultRowHeight="12.75"/>
  <cols>
    <col min="1" max="1" width="7.7109375" style="24" customWidth="1"/>
    <col min="2" max="2" width="44.85546875" style="25" bestFit="1" customWidth="1"/>
    <col min="3" max="3" width="4.5703125" style="24" bestFit="1" customWidth="1"/>
    <col min="4" max="4" width="6.5703125" customWidth="1"/>
    <col min="5" max="5" width="8.28515625" customWidth="1"/>
    <col min="6" max="6" width="39.85546875" bestFit="1" customWidth="1"/>
    <col min="7" max="7" width="4.5703125" bestFit="1" customWidth="1"/>
  </cols>
  <sheetData>
    <row r="1" spans="1:17" ht="15.6" customHeight="1">
      <c r="A1" s="661" t="str">
        <f>'1-Cover'!A1</f>
        <v>Project Name</v>
      </c>
      <c r="B1" s="728"/>
      <c r="C1" s="712"/>
      <c r="D1" s="710"/>
      <c r="E1" s="710"/>
      <c r="F1" s="867"/>
      <c r="G1" s="867"/>
      <c r="H1" s="710"/>
      <c r="I1" s="710"/>
      <c r="J1" s="710"/>
      <c r="K1" s="710"/>
      <c r="L1" s="710"/>
      <c r="M1" s="710"/>
      <c r="N1" s="710"/>
      <c r="O1" s="710"/>
      <c r="P1" s="710"/>
      <c r="Q1" s="710"/>
    </row>
    <row r="2" spans="1:17" ht="15.75">
      <c r="A2" s="707" t="s">
        <v>1259</v>
      </c>
      <c r="B2" s="728"/>
      <c r="C2" s="712"/>
      <c r="D2" s="710"/>
      <c r="E2" s="710"/>
      <c r="F2" s="867"/>
      <c r="G2" s="867"/>
      <c r="H2" s="710"/>
      <c r="I2" s="710"/>
      <c r="J2" s="710"/>
      <c r="K2" s="710"/>
      <c r="L2" s="710"/>
      <c r="M2" s="710"/>
      <c r="N2" s="710"/>
      <c r="O2" s="710"/>
      <c r="P2" s="710"/>
      <c r="Q2" s="710"/>
    </row>
    <row r="3" spans="1:17" ht="10.15" customHeight="1">
      <c r="A3" s="712"/>
      <c r="B3" s="728"/>
      <c r="C3" s="712"/>
      <c r="D3" s="710"/>
      <c r="E3" s="710"/>
      <c r="F3" s="710"/>
      <c r="G3" s="710"/>
      <c r="H3" s="710"/>
      <c r="I3" s="710"/>
      <c r="J3" s="710"/>
      <c r="K3" s="710"/>
      <c r="L3" s="710"/>
      <c r="M3" s="710"/>
      <c r="N3" s="710"/>
      <c r="O3" s="710"/>
      <c r="P3" s="710"/>
      <c r="Q3" s="710"/>
    </row>
    <row r="4" spans="1:17">
      <c r="A4" s="777" t="s">
        <v>206</v>
      </c>
      <c r="B4" s="728"/>
      <c r="C4" s="712"/>
      <c r="D4" s="710"/>
      <c r="E4" s="777" t="s">
        <v>1138</v>
      </c>
      <c r="G4" s="712"/>
      <c r="H4" s="695"/>
      <c r="I4" s="695"/>
      <c r="J4" s="695"/>
      <c r="K4" s="710"/>
      <c r="L4" s="710"/>
      <c r="M4" s="710"/>
      <c r="N4" s="710"/>
      <c r="O4" s="710"/>
      <c r="P4" s="710"/>
      <c r="Q4" s="710"/>
    </row>
    <row r="5" spans="1:17">
      <c r="A5" s="190" t="s">
        <v>197</v>
      </c>
      <c r="B5" s="190" t="s">
        <v>194</v>
      </c>
      <c r="C5" s="190" t="s">
        <v>1239</v>
      </c>
      <c r="D5" s="710"/>
      <c r="E5" s="190" t="s">
        <v>197</v>
      </c>
      <c r="F5" s="190" t="s">
        <v>194</v>
      </c>
      <c r="G5" s="190" t="s">
        <v>1239</v>
      </c>
      <c r="H5" s="695"/>
      <c r="I5" s="695"/>
      <c r="J5" s="695"/>
      <c r="K5" s="710"/>
      <c r="L5" s="710"/>
      <c r="M5" s="710"/>
      <c r="N5" s="710"/>
      <c r="O5" s="710"/>
      <c r="P5" s="710"/>
      <c r="Q5" s="710"/>
    </row>
    <row r="6" spans="1:17" ht="16.899999999999999" customHeight="1">
      <c r="A6" s="759" t="s">
        <v>1238</v>
      </c>
      <c r="B6" s="720" t="s">
        <v>469</v>
      </c>
      <c r="C6" s="714" t="s">
        <v>1058</v>
      </c>
      <c r="D6" s="710"/>
      <c r="E6" s="781" t="s">
        <v>1156</v>
      </c>
      <c r="F6" s="659" t="s">
        <v>1102</v>
      </c>
      <c r="G6" s="714" t="s">
        <v>3</v>
      </c>
      <c r="H6" s="695"/>
      <c r="I6" s="695"/>
      <c r="J6" s="695"/>
      <c r="K6" s="710"/>
      <c r="L6" s="710"/>
      <c r="M6" s="710"/>
      <c r="N6" s="710"/>
      <c r="O6" s="710"/>
      <c r="P6" s="710"/>
      <c r="Q6" s="710"/>
    </row>
    <row r="7" spans="1:17" ht="16.899999999999999" customHeight="1">
      <c r="A7" s="759" t="s">
        <v>1196</v>
      </c>
      <c r="B7" s="720" t="s">
        <v>1139</v>
      </c>
      <c r="C7" s="714" t="s">
        <v>1058</v>
      </c>
      <c r="D7" s="710"/>
      <c r="E7" s="759" t="s">
        <v>1157</v>
      </c>
      <c r="F7" s="720" t="s">
        <v>1109</v>
      </c>
      <c r="G7" s="714" t="s">
        <v>210</v>
      </c>
      <c r="H7" s="695"/>
      <c r="I7" s="695"/>
      <c r="J7" s="695"/>
      <c r="K7" s="710"/>
      <c r="L7" s="710"/>
      <c r="M7" s="710"/>
      <c r="N7" s="710"/>
      <c r="O7" s="710"/>
      <c r="P7" s="710"/>
      <c r="Q7" s="710"/>
    </row>
    <row r="8" spans="1:17" ht="14.25">
      <c r="A8" s="664" t="s">
        <v>1197</v>
      </c>
      <c r="B8" s="659" t="s">
        <v>1116</v>
      </c>
      <c r="C8" s="768" t="s">
        <v>4</v>
      </c>
      <c r="D8" s="710"/>
      <c r="E8" s="781" t="s">
        <v>1158</v>
      </c>
      <c r="F8" s="659" t="s">
        <v>873</v>
      </c>
      <c r="G8" s="714" t="s">
        <v>210</v>
      </c>
      <c r="H8" s="695"/>
      <c r="I8" s="695"/>
      <c r="J8" s="695"/>
      <c r="K8" s="710"/>
      <c r="L8" s="710"/>
      <c r="M8" s="710"/>
      <c r="N8" s="710"/>
      <c r="O8" s="710"/>
      <c r="P8" s="710"/>
      <c r="Q8" s="710"/>
    </row>
    <row r="9" spans="1:17" ht="14.25">
      <c r="A9" s="664" t="s">
        <v>1198</v>
      </c>
      <c r="B9" s="659" t="s">
        <v>1122</v>
      </c>
      <c r="C9" s="768" t="s">
        <v>4</v>
      </c>
      <c r="D9" s="710"/>
      <c r="E9" s="781" t="s">
        <v>1159</v>
      </c>
      <c r="F9" s="659" t="s">
        <v>874</v>
      </c>
      <c r="G9" s="714" t="s">
        <v>210</v>
      </c>
      <c r="H9" s="695"/>
      <c r="I9" s="695"/>
      <c r="J9" s="695"/>
      <c r="K9" s="710"/>
      <c r="L9" s="710"/>
      <c r="M9" s="710"/>
      <c r="N9" s="710"/>
      <c r="O9" s="710"/>
      <c r="P9" s="710"/>
      <c r="Q9" s="710"/>
    </row>
    <row r="10" spans="1:17" ht="14.25">
      <c r="A10" s="664" t="s">
        <v>1199</v>
      </c>
      <c r="B10" s="659" t="s">
        <v>1121</v>
      </c>
      <c r="C10" s="768" t="s">
        <v>4</v>
      </c>
      <c r="D10" s="710"/>
      <c r="E10" s="781" t="s">
        <v>1160</v>
      </c>
      <c r="F10" s="659" t="s">
        <v>875</v>
      </c>
      <c r="G10" s="714" t="s">
        <v>210</v>
      </c>
      <c r="H10" s="695"/>
      <c r="I10" s="695"/>
      <c r="J10" s="695"/>
      <c r="K10" s="710"/>
      <c r="L10" s="710"/>
      <c r="M10" s="710"/>
      <c r="N10" s="710"/>
      <c r="O10" s="710"/>
      <c r="P10" s="710"/>
      <c r="Q10" s="710"/>
    </row>
    <row r="11" spans="1:17" ht="15">
      <c r="A11" s="664" t="s">
        <v>1200</v>
      </c>
      <c r="B11" s="659" t="s">
        <v>1120</v>
      </c>
      <c r="C11" s="768" t="s">
        <v>4</v>
      </c>
      <c r="D11" s="710"/>
      <c r="E11" s="759" t="s">
        <v>198</v>
      </c>
      <c r="F11" s="720" t="s">
        <v>201</v>
      </c>
      <c r="G11" s="714" t="s">
        <v>200</v>
      </c>
      <c r="H11" s="695"/>
      <c r="I11" s="695"/>
      <c r="J11" s="695"/>
      <c r="K11" s="710"/>
      <c r="L11" s="710"/>
      <c r="M11" s="710"/>
      <c r="N11" s="710"/>
      <c r="O11" s="710"/>
      <c r="P11" s="710"/>
      <c r="Q11" s="710"/>
    </row>
    <row r="12" spans="1:17" ht="14.25">
      <c r="A12" s="664" t="s">
        <v>1201</v>
      </c>
      <c r="B12" s="659" t="s">
        <v>1140</v>
      </c>
      <c r="C12" s="768" t="s">
        <v>4</v>
      </c>
      <c r="D12" s="710"/>
      <c r="E12" s="759" t="s">
        <v>1161</v>
      </c>
      <c r="F12" s="677" t="s">
        <v>1104</v>
      </c>
      <c r="G12" s="714" t="s">
        <v>210</v>
      </c>
      <c r="H12" s="695"/>
      <c r="I12" s="695"/>
      <c r="J12" s="695"/>
      <c r="K12" s="710"/>
      <c r="L12" s="710"/>
      <c r="M12" s="710"/>
      <c r="N12" s="710"/>
      <c r="O12" s="710"/>
      <c r="P12" s="710"/>
      <c r="Q12" s="710"/>
    </row>
    <row r="13" spans="1:17" ht="14.25">
      <c r="A13" s="664" t="s">
        <v>1202</v>
      </c>
      <c r="B13" s="659" t="s">
        <v>1115</v>
      </c>
      <c r="C13" s="768" t="s">
        <v>4</v>
      </c>
      <c r="D13" s="710"/>
      <c r="E13" s="759" t="s">
        <v>1162</v>
      </c>
      <c r="F13" s="677" t="s">
        <v>1081</v>
      </c>
      <c r="G13" s="714" t="s">
        <v>4</v>
      </c>
      <c r="H13" s="695"/>
      <c r="I13" s="695"/>
      <c r="J13" s="695"/>
      <c r="K13" s="710"/>
      <c r="L13" s="710"/>
      <c r="M13" s="710"/>
      <c r="N13" s="710"/>
      <c r="O13" s="710"/>
      <c r="P13" s="710"/>
      <c r="Q13" s="710"/>
    </row>
    <row r="14" spans="1:17" ht="14.25">
      <c r="A14" s="664" t="s">
        <v>1203</v>
      </c>
      <c r="B14" s="659" t="s">
        <v>1119</v>
      </c>
      <c r="C14" s="768" t="s">
        <v>4</v>
      </c>
      <c r="D14" s="710"/>
      <c r="E14" s="759" t="s">
        <v>1163</v>
      </c>
      <c r="F14" s="720" t="s">
        <v>232</v>
      </c>
      <c r="G14" s="714" t="s">
        <v>4</v>
      </c>
      <c r="H14" s="695"/>
      <c r="I14" s="695"/>
      <c r="J14" s="695"/>
      <c r="K14" s="710"/>
      <c r="L14" s="710"/>
      <c r="M14" s="710"/>
      <c r="N14" s="710"/>
      <c r="O14" s="710"/>
      <c r="P14" s="710"/>
      <c r="Q14" s="710"/>
    </row>
    <row r="15" spans="1:17" ht="14.25">
      <c r="A15" s="664" t="s">
        <v>1204</v>
      </c>
      <c r="B15" s="659" t="s">
        <v>1118</v>
      </c>
      <c r="C15" s="768" t="s">
        <v>4</v>
      </c>
      <c r="D15" s="710"/>
      <c r="E15" s="759" t="s">
        <v>1164</v>
      </c>
      <c r="F15" s="720" t="s">
        <v>228</v>
      </c>
      <c r="G15" s="714" t="s">
        <v>4</v>
      </c>
      <c r="H15" s="695"/>
      <c r="I15" s="695"/>
      <c r="J15" s="695"/>
      <c r="K15" s="710"/>
      <c r="L15" s="710"/>
      <c r="M15" s="710"/>
      <c r="N15" s="710"/>
      <c r="O15" s="710"/>
      <c r="P15" s="710"/>
      <c r="Q15" s="710"/>
    </row>
    <row r="16" spans="1:17" ht="14.25">
      <c r="A16" s="664" t="s">
        <v>1205</v>
      </c>
      <c r="B16" s="659" t="s">
        <v>1114</v>
      </c>
      <c r="C16" s="768" t="s">
        <v>4</v>
      </c>
      <c r="D16" s="710"/>
      <c r="E16" s="759" t="s">
        <v>1165</v>
      </c>
      <c r="F16" s="677" t="s">
        <v>1106</v>
      </c>
      <c r="G16" s="714" t="s">
        <v>4</v>
      </c>
      <c r="H16" s="695"/>
      <c r="I16" s="695"/>
      <c r="J16" s="695"/>
      <c r="K16" s="710"/>
      <c r="L16" s="710"/>
      <c r="M16" s="710"/>
      <c r="N16" s="710"/>
      <c r="O16" s="710"/>
      <c r="P16" s="710"/>
      <c r="Q16" s="710"/>
    </row>
    <row r="17" spans="1:17" ht="14.25">
      <c r="A17" s="664" t="s">
        <v>1206</v>
      </c>
      <c r="B17" s="659" t="s">
        <v>1117</v>
      </c>
      <c r="C17" s="768" t="s">
        <v>4</v>
      </c>
      <c r="D17" s="710"/>
      <c r="E17" s="759" t="s">
        <v>1166</v>
      </c>
      <c r="F17" s="720" t="s">
        <v>587</v>
      </c>
      <c r="G17" s="714" t="s">
        <v>4</v>
      </c>
      <c r="H17" s="695"/>
      <c r="I17" s="695"/>
      <c r="J17" s="695"/>
      <c r="K17" s="710"/>
      <c r="L17" s="710"/>
      <c r="M17" s="710"/>
      <c r="N17" s="710"/>
      <c r="O17" s="710"/>
      <c r="P17" s="710"/>
      <c r="Q17" s="710"/>
    </row>
    <row r="18" spans="1:17" ht="14.25">
      <c r="A18" s="664" t="s">
        <v>1207</v>
      </c>
      <c r="B18" s="659" t="s">
        <v>1124</v>
      </c>
      <c r="C18" s="768" t="s">
        <v>4</v>
      </c>
      <c r="D18" s="710"/>
      <c r="E18" s="759" t="s">
        <v>1167</v>
      </c>
      <c r="F18" s="677" t="s">
        <v>626</v>
      </c>
      <c r="G18" s="714" t="s">
        <v>4</v>
      </c>
      <c r="H18" s="695"/>
      <c r="I18" s="695"/>
      <c r="J18" s="695"/>
      <c r="K18" s="710"/>
      <c r="L18" s="710"/>
      <c r="M18" s="710"/>
      <c r="N18" s="710"/>
      <c r="O18" s="710"/>
      <c r="P18" s="710"/>
      <c r="Q18" s="710"/>
    </row>
    <row r="19" spans="1:17" ht="15.75">
      <c r="A19" s="664" t="s">
        <v>1208</v>
      </c>
      <c r="B19" s="659" t="s">
        <v>1051</v>
      </c>
      <c r="C19" s="768" t="s">
        <v>210</v>
      </c>
      <c r="D19" s="710"/>
      <c r="E19" s="759" t="s">
        <v>1168</v>
      </c>
      <c r="F19" s="720" t="s">
        <v>631</v>
      </c>
      <c r="G19" s="714" t="s">
        <v>210</v>
      </c>
      <c r="H19" s="695"/>
      <c r="I19" s="695"/>
      <c r="J19" s="695"/>
      <c r="K19" s="710"/>
      <c r="L19" s="710"/>
      <c r="M19" s="710"/>
      <c r="N19" s="710"/>
      <c r="O19" s="710"/>
      <c r="P19" s="710"/>
      <c r="Q19" s="710"/>
    </row>
    <row r="20" spans="1:17" ht="14.25">
      <c r="A20" s="664" t="s">
        <v>1209</v>
      </c>
      <c r="B20" s="659" t="s">
        <v>1092</v>
      </c>
      <c r="C20" s="768" t="s">
        <v>210</v>
      </c>
      <c r="D20" s="710"/>
      <c r="E20" s="759" t="s">
        <v>1169</v>
      </c>
      <c r="F20" s="720" t="s">
        <v>1125</v>
      </c>
      <c r="G20" s="714" t="s">
        <v>3</v>
      </c>
      <c r="H20" s="695"/>
      <c r="I20" s="695"/>
      <c r="J20" s="695"/>
      <c r="K20" s="710"/>
      <c r="L20" s="710"/>
      <c r="M20" s="710"/>
      <c r="N20" s="710"/>
      <c r="O20" s="710"/>
      <c r="P20" s="710"/>
      <c r="Q20" s="710"/>
    </row>
    <row r="21" spans="1:17" ht="14.25">
      <c r="A21" s="664" t="s">
        <v>1210</v>
      </c>
      <c r="B21" s="659" t="s">
        <v>1110</v>
      </c>
      <c r="C21" s="768" t="s">
        <v>210</v>
      </c>
      <c r="D21" s="710"/>
      <c r="E21" s="759" t="s">
        <v>1170</v>
      </c>
      <c r="F21" s="720" t="s">
        <v>1125</v>
      </c>
      <c r="G21" s="714" t="s">
        <v>3</v>
      </c>
      <c r="H21" s="695"/>
      <c r="I21" s="695"/>
      <c r="J21" s="695"/>
      <c r="K21" s="710"/>
      <c r="L21" s="710"/>
      <c r="M21" s="710"/>
      <c r="N21" s="710"/>
      <c r="O21" s="710"/>
      <c r="P21" s="710"/>
      <c r="Q21" s="710"/>
    </row>
    <row r="22" spans="1:17" ht="14.25">
      <c r="A22" s="664" t="s">
        <v>1211</v>
      </c>
      <c r="B22" s="659" t="s">
        <v>1112</v>
      </c>
      <c r="C22" s="768" t="s">
        <v>210</v>
      </c>
      <c r="D22" s="710"/>
      <c r="E22" s="759" t="s">
        <v>1064</v>
      </c>
      <c r="F22" s="720" t="s">
        <v>1065</v>
      </c>
      <c r="G22" s="714" t="s">
        <v>210</v>
      </c>
      <c r="H22" s="695"/>
      <c r="I22" s="695"/>
      <c r="J22" s="695"/>
      <c r="K22" s="710"/>
      <c r="L22" s="710"/>
      <c r="M22" s="710"/>
      <c r="N22" s="710"/>
      <c r="O22" s="710"/>
      <c r="P22" s="710"/>
      <c r="Q22" s="710"/>
    </row>
    <row r="23" spans="1:17" ht="14.25">
      <c r="A23" s="664" t="s">
        <v>1210</v>
      </c>
      <c r="B23" s="659" t="s">
        <v>1110</v>
      </c>
      <c r="C23" s="768" t="s">
        <v>210</v>
      </c>
      <c r="D23" s="710"/>
      <c r="E23" s="759" t="s">
        <v>1171</v>
      </c>
      <c r="F23" s="720" t="s">
        <v>446</v>
      </c>
      <c r="G23" s="714" t="s">
        <v>210</v>
      </c>
      <c r="H23" s="695"/>
      <c r="I23" s="695"/>
      <c r="J23" s="695"/>
      <c r="K23" s="710"/>
      <c r="L23" s="710"/>
      <c r="M23" s="710"/>
      <c r="N23" s="710"/>
      <c r="O23" s="710"/>
      <c r="P23" s="710"/>
      <c r="Q23" s="710"/>
    </row>
    <row r="24" spans="1:17" ht="14.25">
      <c r="A24" s="664" t="s">
        <v>1212</v>
      </c>
      <c r="B24" s="659" t="s">
        <v>1111</v>
      </c>
      <c r="C24" s="768" t="s">
        <v>210</v>
      </c>
      <c r="D24" s="710"/>
      <c r="E24" s="759" t="s">
        <v>1172</v>
      </c>
      <c r="F24" s="720" t="s">
        <v>203</v>
      </c>
      <c r="G24" s="714" t="s">
        <v>474</v>
      </c>
      <c r="H24" s="695"/>
      <c r="I24" s="695"/>
      <c r="J24" s="695"/>
      <c r="K24" s="710"/>
      <c r="L24" s="710"/>
      <c r="M24" s="710"/>
      <c r="N24" s="710"/>
      <c r="O24" s="710"/>
      <c r="P24" s="710"/>
      <c r="Q24" s="710"/>
    </row>
    <row r="25" spans="1:17" ht="15.6" customHeight="1">
      <c r="A25" s="759" t="s">
        <v>1213</v>
      </c>
      <c r="B25" s="677" t="s">
        <v>1082</v>
      </c>
      <c r="C25" s="714" t="s">
        <v>4</v>
      </c>
      <c r="D25" s="710"/>
      <c r="E25" s="759" t="s">
        <v>596</v>
      </c>
      <c r="F25" s="720" t="s">
        <v>591</v>
      </c>
      <c r="G25" s="714" t="s">
        <v>4</v>
      </c>
      <c r="H25" s="695"/>
      <c r="I25" s="695"/>
      <c r="J25" s="695"/>
      <c r="K25" s="710"/>
      <c r="L25" s="710"/>
      <c r="M25" s="710"/>
      <c r="N25" s="710"/>
      <c r="O25" s="710"/>
      <c r="P25" s="710"/>
      <c r="Q25" s="710"/>
    </row>
    <row r="26" spans="1:17" ht="15.6" customHeight="1">
      <c r="A26" s="759" t="s">
        <v>1214</v>
      </c>
      <c r="B26" s="677" t="s">
        <v>1083</v>
      </c>
      <c r="C26" s="714" t="s">
        <v>4</v>
      </c>
      <c r="D26" s="710"/>
      <c r="E26" s="759" t="s">
        <v>1173</v>
      </c>
      <c r="F26" s="720" t="s">
        <v>204</v>
      </c>
      <c r="G26" s="714" t="s">
        <v>4</v>
      </c>
      <c r="H26" s="695"/>
      <c r="I26" s="695"/>
      <c r="J26" s="695"/>
      <c r="K26" s="710"/>
      <c r="L26" s="710"/>
      <c r="M26" s="710"/>
      <c r="N26" s="710"/>
      <c r="O26" s="710"/>
      <c r="P26" s="710"/>
      <c r="Q26" s="710"/>
    </row>
    <row r="27" spans="1:17" ht="14.25">
      <c r="A27" s="759" t="s">
        <v>1215</v>
      </c>
      <c r="B27" s="720" t="s">
        <v>221</v>
      </c>
      <c r="C27" s="714" t="s">
        <v>4</v>
      </c>
      <c r="D27" s="710"/>
      <c r="E27" s="759" t="s">
        <v>1174</v>
      </c>
      <c r="F27" s="720" t="s">
        <v>443</v>
      </c>
      <c r="G27" s="714" t="s">
        <v>210</v>
      </c>
      <c r="H27" s="769"/>
      <c r="I27" s="695"/>
      <c r="J27" s="695"/>
      <c r="K27" s="710"/>
      <c r="L27" s="710"/>
      <c r="M27" s="710"/>
      <c r="N27" s="710"/>
      <c r="O27" s="710"/>
      <c r="P27" s="710"/>
      <c r="Q27" s="710"/>
    </row>
    <row r="28" spans="1:17" s="23" customFormat="1" ht="14.25">
      <c r="A28" s="759" t="s">
        <v>1216</v>
      </c>
      <c r="B28" s="720" t="s">
        <v>337</v>
      </c>
      <c r="C28" s="714" t="s">
        <v>214</v>
      </c>
      <c r="D28" s="710"/>
      <c r="E28" s="759" t="s">
        <v>1175</v>
      </c>
      <c r="F28" s="720" t="s">
        <v>1052</v>
      </c>
      <c r="G28" s="714" t="s">
        <v>210</v>
      </c>
      <c r="H28" s="695"/>
      <c r="I28" s="695"/>
      <c r="J28" s="695"/>
      <c r="K28" s="710"/>
      <c r="L28" s="710"/>
      <c r="M28" s="710"/>
      <c r="N28" s="710"/>
      <c r="O28" s="710"/>
      <c r="P28" s="710"/>
      <c r="Q28" s="710"/>
    </row>
    <row r="29" spans="1:17" ht="14.25">
      <c r="A29" s="759" t="s">
        <v>1217</v>
      </c>
      <c r="B29" s="720" t="s">
        <v>1132</v>
      </c>
      <c r="C29" s="714" t="s">
        <v>4</v>
      </c>
      <c r="D29" s="710"/>
      <c r="E29" s="759" t="s">
        <v>1176</v>
      </c>
      <c r="F29" s="720" t="s">
        <v>208</v>
      </c>
      <c r="G29" s="714" t="s">
        <v>2</v>
      </c>
      <c r="H29" s="695"/>
      <c r="I29" s="695"/>
      <c r="J29" s="695"/>
      <c r="K29" s="710"/>
      <c r="L29" s="710"/>
      <c r="M29" s="710"/>
      <c r="N29" s="710"/>
      <c r="O29" s="710"/>
      <c r="P29" s="710"/>
      <c r="Q29" s="710"/>
    </row>
    <row r="30" spans="1:17" ht="14.25">
      <c r="A30" s="759" t="s">
        <v>1218</v>
      </c>
      <c r="B30" s="720" t="s">
        <v>231</v>
      </c>
      <c r="C30" s="714" t="s">
        <v>4</v>
      </c>
      <c r="D30" s="710"/>
      <c r="E30" s="759" t="s">
        <v>1177</v>
      </c>
      <c r="F30" s="720" t="s">
        <v>207</v>
      </c>
      <c r="G30" s="714" t="s">
        <v>2</v>
      </c>
      <c r="H30" s="695"/>
      <c r="I30" s="695"/>
      <c r="J30" s="695"/>
      <c r="K30" s="710"/>
      <c r="L30" s="710"/>
      <c r="M30" s="710"/>
      <c r="N30" s="710"/>
      <c r="O30" s="710"/>
      <c r="P30" s="710"/>
      <c r="Q30" s="710"/>
    </row>
    <row r="31" spans="1:17" ht="14.25">
      <c r="A31" s="759" t="s">
        <v>1219</v>
      </c>
      <c r="B31" s="720" t="s">
        <v>332</v>
      </c>
      <c r="C31" s="714" t="s">
        <v>4</v>
      </c>
      <c r="D31" s="710"/>
      <c r="E31" s="759" t="s">
        <v>1178</v>
      </c>
      <c r="F31" s="720" t="s">
        <v>209</v>
      </c>
      <c r="G31" s="714" t="s">
        <v>2</v>
      </c>
      <c r="H31" s="695"/>
      <c r="I31" s="695"/>
      <c r="J31" s="695"/>
      <c r="K31" s="710"/>
      <c r="L31" s="710"/>
      <c r="M31" s="710"/>
      <c r="N31" s="710"/>
      <c r="O31" s="710"/>
      <c r="P31" s="710"/>
      <c r="Q31" s="710"/>
    </row>
    <row r="32" spans="1:17" ht="15.75">
      <c r="A32" s="759" t="s">
        <v>1220</v>
      </c>
      <c r="B32" s="720" t="s">
        <v>630</v>
      </c>
      <c r="C32" s="714" t="s">
        <v>210</v>
      </c>
      <c r="D32" s="710"/>
      <c r="E32" s="759" t="s">
        <v>1179</v>
      </c>
      <c r="F32" s="720" t="s">
        <v>1094</v>
      </c>
      <c r="G32" s="714" t="s">
        <v>1062</v>
      </c>
      <c r="H32" s="695"/>
      <c r="I32" s="695"/>
      <c r="J32" s="695"/>
      <c r="K32" s="710"/>
      <c r="L32" s="710"/>
      <c r="M32" s="710"/>
      <c r="N32" s="710"/>
      <c r="O32" s="710"/>
      <c r="P32" s="710"/>
      <c r="Q32" s="710"/>
    </row>
    <row r="33" spans="1:17" ht="15">
      <c r="A33" s="759" t="s">
        <v>442</v>
      </c>
      <c r="B33" s="720" t="s">
        <v>445</v>
      </c>
      <c r="C33" s="714" t="s">
        <v>210</v>
      </c>
      <c r="D33" s="710"/>
      <c r="E33" s="759" t="s">
        <v>1180</v>
      </c>
      <c r="F33" s="720" t="s">
        <v>1095</v>
      </c>
      <c r="G33" s="714" t="s">
        <v>1062</v>
      </c>
      <c r="H33" s="695"/>
      <c r="I33" s="695"/>
      <c r="J33" s="695"/>
      <c r="K33" s="710"/>
      <c r="L33" s="710"/>
      <c r="M33" s="710"/>
      <c r="N33" s="710"/>
      <c r="O33" s="710"/>
      <c r="P33" s="710"/>
      <c r="Q33" s="710"/>
    </row>
    <row r="34" spans="1:17" ht="15">
      <c r="A34" s="759" t="s">
        <v>1221</v>
      </c>
      <c r="B34" s="720" t="s">
        <v>1128</v>
      </c>
      <c r="C34" s="714" t="s">
        <v>3</v>
      </c>
      <c r="D34" s="710"/>
      <c r="E34" s="759" t="s">
        <v>1181</v>
      </c>
      <c r="F34" s="720" t="s">
        <v>1096</v>
      </c>
      <c r="G34" s="714" t="s">
        <v>1062</v>
      </c>
      <c r="H34" s="695"/>
      <c r="I34" s="695"/>
      <c r="J34" s="695"/>
      <c r="K34" s="710"/>
      <c r="L34" s="710"/>
      <c r="M34" s="710"/>
      <c r="N34" s="710"/>
      <c r="O34" s="710"/>
      <c r="P34" s="710"/>
      <c r="Q34" s="710"/>
    </row>
    <row r="35" spans="1:17" ht="15">
      <c r="A35" s="759" t="s">
        <v>1222</v>
      </c>
      <c r="B35" s="720" t="s">
        <v>1141</v>
      </c>
      <c r="C35" s="714" t="s">
        <v>3</v>
      </c>
      <c r="D35" s="710"/>
      <c r="E35" s="759" t="s">
        <v>1182</v>
      </c>
      <c r="F35" s="720" t="s">
        <v>333</v>
      </c>
      <c r="G35" s="714" t="s">
        <v>1062</v>
      </c>
      <c r="H35" s="695"/>
      <c r="I35" s="695"/>
      <c r="J35" s="695"/>
      <c r="K35" s="710"/>
      <c r="L35" s="710"/>
      <c r="M35" s="710"/>
      <c r="N35" s="710"/>
      <c r="O35" s="710"/>
      <c r="P35" s="710"/>
      <c r="Q35" s="710"/>
    </row>
    <row r="36" spans="1:17" ht="15">
      <c r="A36" s="759" t="s">
        <v>1223</v>
      </c>
      <c r="B36" s="720" t="s">
        <v>1137</v>
      </c>
      <c r="C36" s="714" t="s">
        <v>3</v>
      </c>
      <c r="D36" s="710"/>
      <c r="E36" s="759" t="s">
        <v>1183</v>
      </c>
      <c r="F36" s="720" t="s">
        <v>1142</v>
      </c>
      <c r="G36" s="714" t="s">
        <v>1062</v>
      </c>
      <c r="H36" s="695"/>
      <c r="I36" s="695"/>
      <c r="J36" s="695"/>
      <c r="K36" s="710"/>
      <c r="L36" s="710"/>
      <c r="M36" s="710"/>
      <c r="N36" s="710"/>
      <c r="O36" s="710"/>
      <c r="P36" s="710"/>
      <c r="Q36" s="710"/>
    </row>
    <row r="37" spans="1:17" ht="15">
      <c r="A37" s="759" t="s">
        <v>1240</v>
      </c>
      <c r="B37" s="720" t="s">
        <v>1131</v>
      </c>
      <c r="C37" s="714" t="s">
        <v>3</v>
      </c>
      <c r="D37" s="710"/>
      <c r="E37" s="759" t="s">
        <v>1184</v>
      </c>
      <c r="F37" s="720" t="s">
        <v>1089</v>
      </c>
      <c r="G37" s="714" t="s">
        <v>1062</v>
      </c>
      <c r="H37" s="695"/>
      <c r="I37" s="695"/>
      <c r="J37" s="695"/>
      <c r="K37" s="710"/>
      <c r="L37" s="710"/>
      <c r="M37" s="710"/>
      <c r="N37" s="710"/>
      <c r="O37" s="710"/>
      <c r="P37" s="710"/>
      <c r="Q37" s="710"/>
    </row>
    <row r="38" spans="1:17" ht="15">
      <c r="A38" s="759" t="s">
        <v>1224</v>
      </c>
      <c r="B38" s="720" t="s">
        <v>1129</v>
      </c>
      <c r="C38" s="714" t="s">
        <v>3</v>
      </c>
      <c r="D38" s="710"/>
      <c r="E38" s="759" t="s">
        <v>1185</v>
      </c>
      <c r="F38" s="720" t="s">
        <v>334</v>
      </c>
      <c r="G38" s="714" t="s">
        <v>1062</v>
      </c>
      <c r="H38" s="695"/>
      <c r="I38" s="695"/>
      <c r="J38" s="695"/>
      <c r="K38" s="710"/>
      <c r="L38" s="710"/>
      <c r="M38" s="710"/>
      <c r="N38" s="710"/>
      <c r="O38" s="710"/>
      <c r="P38" s="710"/>
      <c r="Q38" s="710"/>
    </row>
    <row r="39" spans="1:17" ht="15">
      <c r="A39" s="759" t="s">
        <v>1225</v>
      </c>
      <c r="B39" s="720" t="s">
        <v>1136</v>
      </c>
      <c r="C39" s="714" t="s">
        <v>3</v>
      </c>
      <c r="D39" s="710"/>
      <c r="E39" s="759" t="s">
        <v>1186</v>
      </c>
      <c r="F39" s="720" t="s">
        <v>1063</v>
      </c>
      <c r="G39" s="714" t="s">
        <v>1062</v>
      </c>
      <c r="H39" s="695"/>
      <c r="I39" s="695"/>
      <c r="J39" s="695"/>
      <c r="K39" s="710"/>
      <c r="L39" s="710"/>
      <c r="M39" s="710"/>
      <c r="N39" s="710"/>
      <c r="O39" s="710"/>
      <c r="P39" s="710"/>
      <c r="Q39" s="710"/>
    </row>
    <row r="40" spans="1:17" ht="15">
      <c r="A40" s="759" t="s">
        <v>1226</v>
      </c>
      <c r="B40" s="720" t="s">
        <v>1130</v>
      </c>
      <c r="C40" s="714" t="s">
        <v>3</v>
      </c>
      <c r="D40" s="710"/>
      <c r="E40" s="759" t="s">
        <v>1187</v>
      </c>
      <c r="F40" s="720" t="s">
        <v>1126</v>
      </c>
      <c r="G40" s="714" t="s">
        <v>1062</v>
      </c>
      <c r="H40" s="695"/>
      <c r="I40" s="695"/>
      <c r="J40" s="695"/>
      <c r="K40" s="710"/>
      <c r="L40" s="710"/>
      <c r="M40" s="710"/>
      <c r="N40" s="710"/>
      <c r="O40" s="710"/>
      <c r="P40" s="710"/>
      <c r="Q40" s="710"/>
    </row>
    <row r="41" spans="1:17" ht="15">
      <c r="A41" s="759" t="s">
        <v>1227</v>
      </c>
      <c r="B41" s="720" t="s">
        <v>1091</v>
      </c>
      <c r="C41" s="714" t="s">
        <v>3</v>
      </c>
      <c r="D41" s="710"/>
      <c r="E41" s="759" t="s">
        <v>1188</v>
      </c>
      <c r="F41" s="720" t="s">
        <v>1127</v>
      </c>
      <c r="G41" s="714" t="s">
        <v>1062</v>
      </c>
      <c r="H41" s="695"/>
      <c r="I41" s="689"/>
      <c r="J41" s="695"/>
      <c r="K41" s="710"/>
      <c r="L41" s="710"/>
      <c r="M41" s="710"/>
      <c r="N41" s="710"/>
      <c r="O41" s="710"/>
      <c r="P41" s="710"/>
      <c r="Q41" s="710"/>
    </row>
    <row r="42" spans="1:17" ht="15">
      <c r="A42" s="759" t="s">
        <v>1228</v>
      </c>
      <c r="B42" s="720" t="s">
        <v>1113</v>
      </c>
      <c r="C42" s="714" t="s">
        <v>3</v>
      </c>
      <c r="D42" s="710"/>
      <c r="E42" s="759" t="s">
        <v>1189</v>
      </c>
      <c r="F42" s="720" t="s">
        <v>1133</v>
      </c>
      <c r="G42" s="714" t="s">
        <v>1062</v>
      </c>
      <c r="H42" s="695"/>
      <c r="I42" s="695"/>
      <c r="J42" s="695"/>
      <c r="K42" s="710"/>
      <c r="L42" s="710"/>
      <c r="M42" s="710"/>
      <c r="N42" s="710"/>
      <c r="O42" s="710"/>
      <c r="P42" s="710"/>
      <c r="Q42" s="710"/>
    </row>
    <row r="43" spans="1:17" ht="15">
      <c r="A43" s="759" t="s">
        <v>1229</v>
      </c>
      <c r="B43" s="720" t="s">
        <v>1022</v>
      </c>
      <c r="C43" s="714" t="s">
        <v>3</v>
      </c>
      <c r="D43" s="710"/>
      <c r="E43" s="759" t="s">
        <v>1190</v>
      </c>
      <c r="F43" s="720" t="s">
        <v>1134</v>
      </c>
      <c r="G43" s="714" t="s">
        <v>1062</v>
      </c>
      <c r="H43" s="695"/>
      <c r="I43" s="695"/>
      <c r="J43" s="695"/>
      <c r="K43" s="710"/>
      <c r="L43" s="710"/>
      <c r="M43" s="710"/>
      <c r="N43" s="710"/>
      <c r="O43" s="710"/>
      <c r="P43" s="710"/>
      <c r="Q43" s="710"/>
    </row>
    <row r="44" spans="1:17" ht="14.25">
      <c r="A44" s="781" t="s">
        <v>1230</v>
      </c>
      <c r="B44" s="659" t="s">
        <v>1108</v>
      </c>
      <c r="C44" s="714" t="s">
        <v>3</v>
      </c>
      <c r="D44" s="710"/>
      <c r="E44" s="759" t="s">
        <v>1191</v>
      </c>
      <c r="F44" s="720" t="s">
        <v>327</v>
      </c>
      <c r="G44" s="714" t="s">
        <v>4</v>
      </c>
      <c r="H44" s="695"/>
      <c r="I44" s="695"/>
      <c r="J44" s="695"/>
      <c r="K44" s="710"/>
      <c r="L44" s="710"/>
      <c r="M44" s="710"/>
      <c r="N44" s="710"/>
      <c r="O44" s="710"/>
      <c r="P44" s="710"/>
      <c r="Q44" s="710"/>
    </row>
    <row r="45" spans="1:17" ht="14.25">
      <c r="A45" s="781" t="s">
        <v>1231</v>
      </c>
      <c r="B45" s="659" t="s">
        <v>1103</v>
      </c>
      <c r="C45" s="714" t="s">
        <v>3</v>
      </c>
      <c r="D45" s="710"/>
      <c r="E45" s="759" t="s">
        <v>1192</v>
      </c>
      <c r="F45" s="695" t="s">
        <v>1135</v>
      </c>
      <c r="G45" s="714" t="s">
        <v>3</v>
      </c>
      <c r="H45" s="695"/>
      <c r="I45" s="695"/>
      <c r="J45" s="695"/>
      <c r="K45" s="710"/>
      <c r="L45" s="710"/>
      <c r="M45" s="710"/>
      <c r="N45" s="710"/>
      <c r="O45" s="710"/>
      <c r="P45" s="710"/>
      <c r="Q45" s="710"/>
    </row>
    <row r="46" spans="1:17" ht="14.25">
      <c r="A46" s="759" t="s">
        <v>1232</v>
      </c>
      <c r="B46" s="720" t="s">
        <v>1093</v>
      </c>
      <c r="C46" s="714" t="s">
        <v>3</v>
      </c>
      <c r="D46" s="710"/>
      <c r="E46" s="759" t="s">
        <v>1193</v>
      </c>
      <c r="F46" s="720" t="s">
        <v>1090</v>
      </c>
      <c r="G46" s="714" t="s">
        <v>3</v>
      </c>
      <c r="H46" s="695"/>
      <c r="I46" s="695"/>
      <c r="J46" s="695"/>
      <c r="K46" s="710"/>
      <c r="L46" s="710"/>
      <c r="M46" s="710"/>
      <c r="N46" s="710"/>
      <c r="O46" s="710"/>
      <c r="P46" s="710"/>
      <c r="Q46" s="710"/>
    </row>
    <row r="47" spans="1:17" ht="14.25">
      <c r="A47" s="759" t="s">
        <v>1233</v>
      </c>
      <c r="B47" s="720" t="s">
        <v>1023</v>
      </c>
      <c r="C47" s="714" t="s">
        <v>3</v>
      </c>
      <c r="D47" s="710"/>
      <c r="E47" s="759" t="s">
        <v>538</v>
      </c>
      <c r="F47" s="720" t="s">
        <v>1068</v>
      </c>
      <c r="G47" s="714" t="s">
        <v>4</v>
      </c>
      <c r="H47" s="695"/>
      <c r="I47" s="695"/>
      <c r="J47" s="695"/>
      <c r="K47" s="710"/>
      <c r="L47" s="710"/>
      <c r="M47" s="710"/>
      <c r="N47" s="710"/>
      <c r="O47" s="710"/>
      <c r="P47" s="710"/>
      <c r="Q47" s="710"/>
    </row>
    <row r="48" spans="1:17" ht="14.25">
      <c r="A48" s="759" t="s">
        <v>1234</v>
      </c>
      <c r="B48" s="720" t="s">
        <v>1105</v>
      </c>
      <c r="C48" s="714" t="s">
        <v>3</v>
      </c>
      <c r="D48" s="710"/>
      <c r="E48" s="759" t="s">
        <v>539</v>
      </c>
      <c r="F48" s="720" t="s">
        <v>553</v>
      </c>
      <c r="G48" s="714" t="s">
        <v>4</v>
      </c>
      <c r="H48" s="695"/>
      <c r="I48" s="695"/>
      <c r="J48" s="695"/>
      <c r="K48" s="710"/>
      <c r="L48" s="710"/>
      <c r="M48" s="710"/>
      <c r="N48" s="710"/>
      <c r="O48" s="710"/>
      <c r="P48" s="710"/>
      <c r="Q48" s="710"/>
    </row>
    <row r="49" spans="1:17" ht="14.25">
      <c r="A49" s="759" t="s">
        <v>1235</v>
      </c>
      <c r="B49" s="720" t="s">
        <v>1097</v>
      </c>
      <c r="C49" s="714" t="s">
        <v>3</v>
      </c>
      <c r="D49" s="710"/>
      <c r="E49" s="759" t="s">
        <v>1194</v>
      </c>
      <c r="F49" s="720" t="s">
        <v>1080</v>
      </c>
      <c r="G49" s="714" t="s">
        <v>4</v>
      </c>
      <c r="H49" s="695"/>
      <c r="I49" s="695"/>
      <c r="J49" s="695"/>
      <c r="K49" s="710"/>
      <c r="L49" s="710"/>
      <c r="M49" s="710"/>
      <c r="N49" s="710"/>
      <c r="O49" s="710"/>
      <c r="P49" s="710"/>
      <c r="Q49" s="710"/>
    </row>
    <row r="50" spans="1:17" ht="14.25">
      <c r="A50" s="759" t="s">
        <v>1236</v>
      </c>
      <c r="B50" s="720" t="s">
        <v>1099</v>
      </c>
      <c r="C50" s="714" t="s">
        <v>3</v>
      </c>
      <c r="D50" s="710"/>
      <c r="E50" s="759" t="s">
        <v>1195</v>
      </c>
      <c r="F50" s="720" t="s">
        <v>1079</v>
      </c>
      <c r="G50" s="714" t="s">
        <v>4</v>
      </c>
      <c r="H50" s="695"/>
      <c r="I50" s="695"/>
      <c r="J50" s="695"/>
      <c r="K50" s="710"/>
      <c r="L50" s="710"/>
      <c r="M50" s="710"/>
      <c r="N50" s="710"/>
      <c r="O50" s="710"/>
      <c r="P50" s="710"/>
      <c r="Q50" s="710"/>
    </row>
    <row r="51" spans="1:17" ht="14.25">
      <c r="A51" s="759" t="s">
        <v>1237</v>
      </c>
      <c r="B51" s="720" t="s">
        <v>1098</v>
      </c>
      <c r="C51" s="714" t="s">
        <v>3</v>
      </c>
      <c r="D51" s="710"/>
      <c r="E51" s="710"/>
      <c r="F51" s="710"/>
      <c r="G51" s="710"/>
      <c r="H51" s="695"/>
      <c r="I51" s="695"/>
      <c r="J51" s="695"/>
      <c r="K51" s="710"/>
      <c r="L51" s="710"/>
      <c r="M51" s="710"/>
      <c r="N51" s="710"/>
      <c r="O51" s="710"/>
      <c r="P51" s="710"/>
      <c r="Q51" s="710"/>
    </row>
    <row r="52" spans="1:17">
      <c r="A52" s="712"/>
      <c r="B52" s="728"/>
      <c r="C52" s="712"/>
      <c r="D52" s="710"/>
      <c r="E52" s="695"/>
      <c r="F52" s="695"/>
      <c r="G52" s="695"/>
      <c r="H52" s="695"/>
      <c r="I52" s="695"/>
      <c r="J52" s="695"/>
      <c r="K52" s="710"/>
      <c r="L52" s="710"/>
      <c r="M52" s="710"/>
      <c r="N52" s="710"/>
      <c r="O52" s="710"/>
      <c r="P52" s="710"/>
      <c r="Q52" s="710"/>
    </row>
    <row r="53" spans="1:17">
      <c r="A53" s="777" t="s">
        <v>335</v>
      </c>
      <c r="B53" s="720"/>
      <c r="C53" s="714"/>
      <c r="D53" s="710"/>
      <c r="E53" s="777" t="s">
        <v>205</v>
      </c>
      <c r="G53" s="695"/>
      <c r="H53" s="695"/>
      <c r="I53" s="695"/>
      <c r="J53" s="695"/>
      <c r="K53" s="710"/>
      <c r="L53" s="710"/>
      <c r="M53" s="710"/>
      <c r="N53" s="710"/>
      <c r="O53" s="710"/>
      <c r="P53" s="710"/>
      <c r="Q53" s="710"/>
    </row>
    <row r="54" spans="1:17">
      <c r="A54" s="190" t="s">
        <v>197</v>
      </c>
      <c r="B54" s="190" t="s">
        <v>194</v>
      </c>
      <c r="C54" s="190" t="s">
        <v>1239</v>
      </c>
      <c r="D54" s="710"/>
      <c r="E54" s="190" t="s">
        <v>206</v>
      </c>
      <c r="F54" s="191" t="s">
        <v>194</v>
      </c>
      <c r="G54" s="695"/>
      <c r="H54" s="695"/>
      <c r="I54" s="695"/>
      <c r="J54" s="695"/>
      <c r="K54" s="710"/>
      <c r="L54" s="710"/>
      <c r="M54" s="710"/>
      <c r="N54" s="710"/>
      <c r="O54" s="710"/>
      <c r="P54" s="710"/>
      <c r="Q54" s="710"/>
    </row>
    <row r="55" spans="1:17">
      <c r="A55" s="778" t="s">
        <v>23</v>
      </c>
      <c r="B55" s="659" t="s">
        <v>1078</v>
      </c>
      <c r="C55" s="714" t="s">
        <v>5</v>
      </c>
      <c r="D55" s="710"/>
      <c r="E55" s="759" t="s">
        <v>211</v>
      </c>
      <c r="F55" s="720" t="s">
        <v>216</v>
      </c>
      <c r="G55" s="695"/>
      <c r="H55" s="695"/>
      <c r="I55" s="695"/>
      <c r="J55" s="695"/>
      <c r="K55" s="710"/>
      <c r="L55" s="710"/>
      <c r="M55" s="710"/>
      <c r="N55" s="710"/>
      <c r="O55" s="710"/>
      <c r="P55" s="710"/>
      <c r="Q55" s="710"/>
    </row>
    <row r="56" spans="1:17" ht="15">
      <c r="A56" s="759" t="s">
        <v>1143</v>
      </c>
      <c r="B56" s="720" t="s">
        <v>296</v>
      </c>
      <c r="C56" s="714" t="s">
        <v>13</v>
      </c>
      <c r="D56" s="710"/>
      <c r="E56" s="759" t="s">
        <v>706</v>
      </c>
      <c r="F56" s="720" t="s">
        <v>21</v>
      </c>
      <c r="G56" s="695"/>
      <c r="H56" s="695"/>
      <c r="I56" s="695"/>
      <c r="J56" s="695"/>
      <c r="K56" s="710"/>
      <c r="L56" s="710"/>
      <c r="M56" s="710"/>
      <c r="N56" s="710"/>
      <c r="O56" s="710"/>
      <c r="P56" s="710"/>
      <c r="Q56" s="710"/>
    </row>
    <row r="57" spans="1:17" ht="15">
      <c r="A57" s="759" t="s">
        <v>1144</v>
      </c>
      <c r="B57" s="720" t="s">
        <v>449</v>
      </c>
      <c r="C57" s="714" t="s">
        <v>13</v>
      </c>
      <c r="D57" s="710"/>
      <c r="E57" s="759" t="s">
        <v>19</v>
      </c>
      <c r="F57" s="720" t="s">
        <v>225</v>
      </c>
      <c r="G57" s="695"/>
      <c r="H57" s="695"/>
      <c r="I57" s="695"/>
      <c r="J57" s="695"/>
      <c r="K57" s="710"/>
      <c r="L57" s="710"/>
      <c r="M57" s="710"/>
      <c r="N57" s="710"/>
      <c r="O57" s="710"/>
      <c r="P57" s="710"/>
      <c r="Q57" s="710"/>
    </row>
    <row r="58" spans="1:17" ht="15">
      <c r="A58" s="759" t="s">
        <v>1145</v>
      </c>
      <c r="B58" s="720" t="s">
        <v>450</v>
      </c>
      <c r="C58" s="714" t="s">
        <v>13</v>
      </c>
      <c r="D58" s="710"/>
      <c r="E58" s="759" t="s">
        <v>5</v>
      </c>
      <c r="F58" s="720" t="s">
        <v>215</v>
      </c>
      <c r="G58" s="695"/>
      <c r="H58" s="695"/>
      <c r="I58" s="664"/>
      <c r="J58" s="695"/>
      <c r="K58" s="710"/>
      <c r="L58" s="710"/>
      <c r="M58" s="710"/>
      <c r="N58" s="710"/>
      <c r="O58" s="710"/>
      <c r="P58" s="710"/>
      <c r="Q58" s="710"/>
    </row>
    <row r="59" spans="1:17" ht="15">
      <c r="A59" s="759" t="s">
        <v>1146</v>
      </c>
      <c r="B59" s="720" t="s">
        <v>261</v>
      </c>
      <c r="C59" s="714" t="s">
        <v>13</v>
      </c>
      <c r="D59" s="710"/>
      <c r="E59" s="759" t="s">
        <v>465</v>
      </c>
      <c r="F59" s="720" t="s">
        <v>466</v>
      </c>
      <c r="G59" s="695"/>
      <c r="H59" s="695"/>
      <c r="I59" s="770"/>
      <c r="J59" s="695"/>
      <c r="K59" s="710"/>
      <c r="L59" s="710"/>
      <c r="M59" s="710"/>
      <c r="N59" s="710"/>
      <c r="O59" s="710"/>
      <c r="P59" s="710"/>
      <c r="Q59" s="710"/>
    </row>
    <row r="60" spans="1:17" ht="15">
      <c r="A60" s="759" t="s">
        <v>1147</v>
      </c>
      <c r="B60" s="720" t="s">
        <v>451</v>
      </c>
      <c r="C60" s="714" t="s">
        <v>13</v>
      </c>
      <c r="D60" s="710"/>
      <c r="E60" s="759" t="s">
        <v>647</v>
      </c>
      <c r="F60" s="720" t="s">
        <v>677</v>
      </c>
      <c r="G60" s="695"/>
      <c r="H60" s="695"/>
      <c r="I60" s="770"/>
      <c r="J60" s="695"/>
      <c r="K60" s="710"/>
      <c r="L60" s="710"/>
      <c r="M60" s="710"/>
      <c r="N60" s="710"/>
      <c r="O60" s="710"/>
      <c r="P60" s="710"/>
      <c r="Q60" s="710"/>
    </row>
    <row r="61" spans="1:17" ht="15">
      <c r="A61" s="759" t="s">
        <v>1148</v>
      </c>
      <c r="B61" s="720" t="s">
        <v>444</v>
      </c>
      <c r="C61" s="714" t="s">
        <v>13</v>
      </c>
      <c r="D61" s="710"/>
      <c r="E61" s="759" t="s">
        <v>615</v>
      </c>
      <c r="F61" s="720" t="s">
        <v>616</v>
      </c>
      <c r="G61" s="668"/>
      <c r="H61" s="668"/>
      <c r="I61" s="770"/>
      <c r="J61" s="695"/>
      <c r="K61" s="710"/>
      <c r="L61" s="710"/>
      <c r="M61" s="710"/>
      <c r="N61" s="710"/>
      <c r="O61" s="710"/>
      <c r="P61" s="710"/>
      <c r="Q61" s="710"/>
    </row>
    <row r="62" spans="1:17" ht="15">
      <c r="A62" s="759" t="s">
        <v>1149</v>
      </c>
      <c r="B62" s="720" t="s">
        <v>536</v>
      </c>
      <c r="C62" s="714" t="s">
        <v>13</v>
      </c>
      <c r="D62" s="710"/>
      <c r="E62" s="759" t="s">
        <v>453</v>
      </c>
      <c r="F62" s="720" t="s">
        <v>454</v>
      </c>
      <c r="G62" s="668"/>
      <c r="H62" s="668"/>
      <c r="I62" s="770"/>
      <c r="J62" s="695"/>
      <c r="K62" s="710"/>
      <c r="L62" s="710"/>
      <c r="M62" s="710"/>
      <c r="N62" s="710"/>
      <c r="O62" s="710"/>
      <c r="P62" s="710"/>
      <c r="Q62" s="710"/>
    </row>
    <row r="63" spans="1:17" ht="15">
      <c r="A63" s="759" t="s">
        <v>1150</v>
      </c>
      <c r="B63" s="720" t="s">
        <v>537</v>
      </c>
      <c r="C63" s="714" t="s">
        <v>13</v>
      </c>
      <c r="D63" s="710"/>
      <c r="E63" s="759" t="s">
        <v>1261</v>
      </c>
      <c r="F63" s="720" t="s">
        <v>966</v>
      </c>
      <c r="G63" s="668"/>
      <c r="H63" s="668"/>
      <c r="I63" s="770"/>
      <c r="J63" s="695"/>
      <c r="K63" s="710"/>
      <c r="L63" s="710"/>
      <c r="M63" s="710"/>
      <c r="N63" s="710"/>
      <c r="O63" s="710"/>
      <c r="P63" s="710"/>
      <c r="Q63" s="710"/>
    </row>
    <row r="64" spans="1:17" ht="15">
      <c r="A64" s="759" t="s">
        <v>1151</v>
      </c>
      <c r="B64" s="720" t="s">
        <v>222</v>
      </c>
      <c r="C64" s="714" t="s">
        <v>13</v>
      </c>
      <c r="D64" s="710"/>
      <c r="E64" s="759" t="s">
        <v>550</v>
      </c>
      <c r="F64" s="720" t="s">
        <v>551</v>
      </c>
      <c r="G64" s="668"/>
      <c r="H64" s="668"/>
      <c r="I64" s="770"/>
      <c r="J64" s="695"/>
      <c r="K64" s="710"/>
      <c r="L64" s="710"/>
      <c r="M64" s="710"/>
      <c r="N64" s="710"/>
      <c r="O64" s="710"/>
      <c r="P64" s="710"/>
      <c r="Q64" s="710"/>
    </row>
    <row r="65" spans="1:17" s="477" customFormat="1" ht="15">
      <c r="A65" s="759" t="s">
        <v>1152</v>
      </c>
      <c r="B65" s="720" t="s">
        <v>223</v>
      </c>
      <c r="C65" s="714" t="s">
        <v>13</v>
      </c>
      <c r="D65" s="677"/>
      <c r="E65" s="759" t="s">
        <v>212</v>
      </c>
      <c r="F65" s="720" t="s">
        <v>227</v>
      </c>
      <c r="G65" s="695"/>
      <c r="H65" s="695"/>
      <c r="I65" s="770"/>
      <c r="J65" s="695"/>
      <c r="K65" s="677"/>
      <c r="L65" s="677"/>
      <c r="M65" s="677"/>
      <c r="N65" s="677"/>
      <c r="O65" s="677"/>
      <c r="P65" s="677"/>
      <c r="Q65" s="677"/>
    </row>
    <row r="66" spans="1:17" ht="15">
      <c r="A66" s="759" t="s">
        <v>1153</v>
      </c>
      <c r="B66" s="720" t="s">
        <v>202</v>
      </c>
      <c r="C66" s="714" t="s">
        <v>13</v>
      </c>
      <c r="D66" s="710"/>
      <c r="E66" s="759" t="s">
        <v>1066</v>
      </c>
      <c r="F66" s="720" t="s">
        <v>1067</v>
      </c>
      <c r="G66" s="695"/>
      <c r="H66" s="695"/>
      <c r="I66" s="695"/>
      <c r="J66" s="695"/>
      <c r="K66" s="710"/>
      <c r="L66" s="710"/>
      <c r="M66" s="710"/>
      <c r="N66" s="710"/>
      <c r="O66" s="710"/>
      <c r="P66" s="710"/>
      <c r="Q66" s="710"/>
    </row>
    <row r="67" spans="1:17">
      <c r="A67" s="779" t="s">
        <v>229</v>
      </c>
      <c r="B67" s="720" t="s">
        <v>1057</v>
      </c>
      <c r="C67" s="714" t="s">
        <v>210</v>
      </c>
      <c r="D67" s="710"/>
      <c r="E67" s="759" t="s">
        <v>704</v>
      </c>
      <c r="F67" s="720" t="s">
        <v>709</v>
      </c>
      <c r="G67" s="668"/>
      <c r="H67" s="668"/>
      <c r="I67" s="770"/>
      <c r="J67" s="695"/>
      <c r="K67" s="710"/>
      <c r="L67" s="710"/>
      <c r="M67" s="710"/>
      <c r="N67" s="710"/>
      <c r="O67" s="710"/>
      <c r="P67" s="710"/>
      <c r="Q67" s="710"/>
    </row>
    <row r="68" spans="1:17">
      <c r="A68" s="778" t="s">
        <v>330</v>
      </c>
      <c r="B68" s="720" t="s">
        <v>1077</v>
      </c>
      <c r="C68" s="714" t="s">
        <v>5</v>
      </c>
      <c r="D68" s="710"/>
      <c r="E68" s="759" t="s">
        <v>478</v>
      </c>
      <c r="F68" s="720" t="s">
        <v>479</v>
      </c>
      <c r="G68" s="668"/>
      <c r="H68" s="668"/>
      <c r="I68" s="770"/>
      <c r="J68" s="695"/>
      <c r="K68" s="710"/>
      <c r="L68" s="710"/>
      <c r="M68" s="710"/>
      <c r="N68" s="710"/>
      <c r="O68" s="710"/>
      <c r="P68" s="710"/>
      <c r="Q68" s="710"/>
    </row>
    <row r="69" spans="1:17">
      <c r="A69" s="779" t="s">
        <v>778</v>
      </c>
      <c r="B69" s="720" t="s">
        <v>1107</v>
      </c>
      <c r="C69" s="714" t="s">
        <v>210</v>
      </c>
      <c r="D69" s="710"/>
      <c r="E69" s="759" t="s">
        <v>452</v>
      </c>
      <c r="F69" s="720" t="s">
        <v>455</v>
      </c>
      <c r="G69" s="695"/>
      <c r="H69" s="695"/>
      <c r="I69" s="695"/>
      <c r="J69" s="695"/>
      <c r="K69" s="710"/>
      <c r="L69" s="710"/>
      <c r="M69" s="710"/>
      <c r="N69" s="710"/>
      <c r="O69" s="710"/>
      <c r="P69" s="710"/>
      <c r="Q69" s="710"/>
    </row>
    <row r="70" spans="1:17" ht="14.25">
      <c r="A70" s="779" t="s">
        <v>462</v>
      </c>
      <c r="B70" s="720" t="s">
        <v>463</v>
      </c>
      <c r="C70" s="714" t="s">
        <v>200</v>
      </c>
      <c r="D70" s="710"/>
      <c r="E70" s="759" t="s">
        <v>705</v>
      </c>
      <c r="F70" s="720" t="s">
        <v>22</v>
      </c>
      <c r="G70" s="695"/>
      <c r="H70" s="695"/>
      <c r="I70" s="695"/>
      <c r="J70" s="695"/>
      <c r="K70" s="710"/>
      <c r="L70" s="710"/>
      <c r="M70" s="710"/>
      <c r="N70" s="710"/>
      <c r="O70" s="710"/>
      <c r="P70" s="710"/>
      <c r="Q70" s="710"/>
    </row>
    <row r="71" spans="1:17">
      <c r="A71" s="779" t="s">
        <v>1100</v>
      </c>
      <c r="B71" s="720" t="s">
        <v>1101</v>
      </c>
      <c r="C71" s="714" t="s">
        <v>210</v>
      </c>
      <c r="D71" s="710"/>
      <c r="E71" s="759" t="s">
        <v>217</v>
      </c>
      <c r="F71" s="720" t="s">
        <v>226</v>
      </c>
      <c r="G71" s="695"/>
      <c r="H71" s="695"/>
      <c r="I71" s="695"/>
      <c r="J71" s="695"/>
      <c r="K71" s="710"/>
      <c r="L71" s="710"/>
      <c r="M71" s="710"/>
      <c r="N71" s="710"/>
      <c r="O71" s="710"/>
      <c r="P71" s="710"/>
      <c r="Q71" s="710"/>
    </row>
    <row r="72" spans="1:17" ht="14.25">
      <c r="A72" s="778" t="s">
        <v>1154</v>
      </c>
      <c r="B72" s="720" t="s">
        <v>295</v>
      </c>
      <c r="C72" s="714" t="s">
        <v>5</v>
      </c>
      <c r="D72" s="710"/>
      <c r="E72" s="759" t="s">
        <v>707</v>
      </c>
      <c r="F72" s="720" t="s">
        <v>708</v>
      </c>
      <c r="G72" s="695"/>
      <c r="H72" s="695"/>
      <c r="I72" s="695"/>
      <c r="J72" s="695"/>
      <c r="K72" s="710"/>
      <c r="L72" s="710"/>
      <c r="M72" s="710"/>
      <c r="N72" s="710"/>
      <c r="O72" s="710"/>
      <c r="P72" s="710"/>
      <c r="Q72" s="710"/>
    </row>
    <row r="73" spans="1:17" ht="14.25">
      <c r="A73" s="778" t="s">
        <v>1155</v>
      </c>
      <c r="B73" s="720" t="s">
        <v>262</v>
      </c>
      <c r="C73" s="714" t="s">
        <v>5</v>
      </c>
      <c r="D73" s="710"/>
      <c r="E73" s="759" t="s">
        <v>530</v>
      </c>
      <c r="F73" s="720" t="s">
        <v>531</v>
      </c>
      <c r="G73" s="772"/>
      <c r="H73" s="695"/>
      <c r="I73" s="695"/>
      <c r="J73" s="695"/>
      <c r="K73" s="710"/>
      <c r="L73" s="710"/>
      <c r="M73" s="710"/>
      <c r="N73" s="710"/>
      <c r="O73" s="710"/>
      <c r="P73" s="710"/>
      <c r="Q73" s="710"/>
    </row>
    <row r="74" spans="1:17">
      <c r="A74" s="714"/>
      <c r="B74" s="720"/>
      <c r="C74" s="714"/>
      <c r="D74" s="710"/>
      <c r="E74" s="759" t="s">
        <v>472</v>
      </c>
      <c r="F74" s="720" t="s">
        <v>473</v>
      </c>
      <c r="G74" s="695"/>
      <c r="H74" s="695"/>
      <c r="I74" s="695"/>
      <c r="J74" s="695"/>
      <c r="K74" s="710"/>
      <c r="L74" s="710"/>
      <c r="M74" s="710"/>
      <c r="N74" s="710"/>
      <c r="O74" s="710"/>
      <c r="P74" s="710"/>
      <c r="Q74" s="710"/>
    </row>
    <row r="75" spans="1:17">
      <c r="A75" s="712"/>
      <c r="B75" s="728"/>
      <c r="C75" s="712"/>
      <c r="D75" s="710"/>
      <c r="E75" s="759" t="s">
        <v>234</v>
      </c>
      <c r="F75" s="720" t="s">
        <v>946</v>
      </c>
      <c r="G75" s="773"/>
      <c r="H75" s="774"/>
      <c r="I75" s="695"/>
      <c r="J75" s="695"/>
      <c r="K75" s="710"/>
      <c r="L75" s="710"/>
      <c r="M75" s="710"/>
      <c r="N75" s="710"/>
      <c r="O75" s="710"/>
      <c r="P75" s="710"/>
      <c r="Q75" s="710"/>
    </row>
    <row r="76" spans="1:17">
      <c r="A76" s="712"/>
      <c r="B76" s="728"/>
      <c r="C76" s="712"/>
      <c r="D76" s="710"/>
      <c r="E76" s="759" t="s">
        <v>236</v>
      </c>
      <c r="F76" s="720" t="s">
        <v>17</v>
      </c>
      <c r="G76" s="775"/>
      <c r="H76" s="774"/>
      <c r="I76" s="695"/>
      <c r="J76" s="695"/>
      <c r="K76" s="710"/>
      <c r="L76" s="710"/>
      <c r="M76" s="710"/>
      <c r="N76" s="710"/>
      <c r="O76" s="710"/>
      <c r="P76" s="710"/>
      <c r="Q76" s="710"/>
    </row>
    <row r="77" spans="1:17">
      <c r="A77" s="777" t="s">
        <v>336</v>
      </c>
      <c r="B77" s="728"/>
      <c r="C77" s="695"/>
      <c r="D77" s="710"/>
      <c r="E77" s="759" t="s">
        <v>652</v>
      </c>
      <c r="F77" s="720" t="s">
        <v>651</v>
      </c>
      <c r="G77" s="695"/>
      <c r="H77" s="695"/>
      <c r="I77" s="695"/>
      <c r="J77" s="695"/>
      <c r="K77" s="710"/>
      <c r="L77" s="710"/>
      <c r="M77" s="710"/>
      <c r="N77" s="710"/>
      <c r="O77" s="710"/>
      <c r="P77" s="710"/>
      <c r="Q77" s="710"/>
    </row>
    <row r="78" spans="1:17">
      <c r="A78" s="190" t="s">
        <v>206</v>
      </c>
      <c r="B78" s="191" t="s">
        <v>194</v>
      </c>
      <c r="C78" s="695"/>
      <c r="D78" s="710"/>
      <c r="E78" s="759" t="s">
        <v>592</v>
      </c>
      <c r="F78" s="720" t="s">
        <v>595</v>
      </c>
      <c r="G78" s="695"/>
      <c r="H78" s="695"/>
      <c r="I78" s="695"/>
      <c r="J78" s="695"/>
      <c r="K78" s="710"/>
      <c r="L78" s="710"/>
      <c r="M78" s="710"/>
      <c r="N78" s="710"/>
      <c r="O78" s="710"/>
      <c r="P78" s="710"/>
      <c r="Q78" s="710"/>
    </row>
    <row r="79" spans="1:17">
      <c r="A79" s="759" t="s">
        <v>474</v>
      </c>
      <c r="B79" s="720" t="s">
        <v>1076</v>
      </c>
      <c r="C79" s="695"/>
      <c r="D79" s="710"/>
      <c r="E79" s="759" t="s">
        <v>477</v>
      </c>
      <c r="F79" s="720" t="s">
        <v>476</v>
      </c>
      <c r="G79" s="695"/>
      <c r="H79" s="695"/>
      <c r="I79" s="695"/>
      <c r="J79" s="695"/>
      <c r="K79" s="710"/>
      <c r="L79" s="710"/>
      <c r="M79" s="710"/>
      <c r="N79" s="710"/>
      <c r="O79" s="710"/>
      <c r="P79" s="710"/>
      <c r="Q79" s="710"/>
    </row>
    <row r="80" spans="1:17">
      <c r="A80" s="759" t="s">
        <v>4</v>
      </c>
      <c r="B80" s="720" t="s">
        <v>758</v>
      </c>
      <c r="C80" s="695"/>
      <c r="D80" s="710"/>
      <c r="E80" s="759" t="s">
        <v>464</v>
      </c>
      <c r="F80" s="720" t="s">
        <v>15</v>
      </c>
      <c r="G80" s="695"/>
      <c r="H80" s="695"/>
      <c r="I80" s="695"/>
      <c r="J80" s="695"/>
      <c r="K80" s="710"/>
      <c r="L80" s="710"/>
      <c r="M80" s="710"/>
      <c r="N80" s="710"/>
      <c r="O80" s="710"/>
      <c r="P80" s="710"/>
      <c r="Q80" s="710"/>
    </row>
    <row r="81" spans="1:17">
      <c r="A81" s="759" t="s">
        <v>759</v>
      </c>
      <c r="B81" s="720" t="s">
        <v>760</v>
      </c>
      <c r="C81" s="695"/>
      <c r="D81" s="710"/>
      <c r="E81" s="759" t="s">
        <v>472</v>
      </c>
      <c r="F81" s="720" t="s">
        <v>473</v>
      </c>
      <c r="G81" s="695"/>
      <c r="H81" s="695"/>
      <c r="I81" s="695"/>
      <c r="J81" s="695"/>
      <c r="K81" s="710"/>
      <c r="L81" s="710"/>
      <c r="M81" s="710"/>
      <c r="N81" s="710"/>
      <c r="O81" s="710"/>
      <c r="P81" s="710"/>
      <c r="Q81" s="710"/>
    </row>
    <row r="82" spans="1:17">
      <c r="A82" s="759" t="s">
        <v>3</v>
      </c>
      <c r="B82" s="720" t="s">
        <v>761</v>
      </c>
      <c r="C82" s="695"/>
      <c r="D82" s="710"/>
      <c r="E82" s="759" t="s">
        <v>842</v>
      </c>
      <c r="F82" s="720" t="s">
        <v>843</v>
      </c>
      <c r="G82" s="695"/>
      <c r="H82" s="695"/>
      <c r="I82" s="695"/>
      <c r="J82" s="695"/>
      <c r="K82" s="710"/>
      <c r="L82" s="710"/>
      <c r="M82" s="710"/>
      <c r="N82" s="710"/>
      <c r="O82" s="710"/>
      <c r="P82" s="710"/>
      <c r="Q82" s="710"/>
    </row>
    <row r="83" spans="1:17">
      <c r="A83" s="759" t="s">
        <v>1071</v>
      </c>
      <c r="B83" s="720" t="s">
        <v>1072</v>
      </c>
      <c r="C83" s="695"/>
      <c r="D83" s="710"/>
      <c r="E83" s="759" t="s">
        <v>532</v>
      </c>
      <c r="F83" s="720" t="s">
        <v>533</v>
      </c>
      <c r="G83" s="695"/>
      <c r="H83" s="695"/>
      <c r="I83" s="695"/>
      <c r="J83" s="695"/>
      <c r="K83" s="710"/>
      <c r="L83" s="710"/>
      <c r="M83" s="710"/>
      <c r="N83" s="710"/>
      <c r="O83" s="710"/>
      <c r="P83" s="710"/>
      <c r="Q83" s="710"/>
    </row>
    <row r="84" spans="1:17">
      <c r="A84" s="759" t="s">
        <v>778</v>
      </c>
      <c r="B84" s="720" t="s">
        <v>1073</v>
      </c>
      <c r="C84" s="695"/>
      <c r="D84" s="710"/>
      <c r="E84" s="759" t="s">
        <v>218</v>
      </c>
      <c r="F84" s="720" t="s">
        <v>219</v>
      </c>
      <c r="G84" s="695"/>
      <c r="H84" s="695"/>
      <c r="I84" s="695"/>
      <c r="J84" s="695"/>
      <c r="K84" s="710"/>
      <c r="L84" s="710"/>
      <c r="M84" s="710"/>
      <c r="N84" s="710"/>
      <c r="O84" s="710"/>
      <c r="P84" s="710"/>
      <c r="Q84" s="710"/>
    </row>
    <row r="85" spans="1:17">
      <c r="A85" s="759" t="s">
        <v>214</v>
      </c>
      <c r="B85" s="720" t="s">
        <v>1070</v>
      </c>
      <c r="C85" s="695"/>
      <c r="D85" s="710"/>
      <c r="E85" s="759" t="s">
        <v>1087</v>
      </c>
      <c r="F85" s="720" t="s">
        <v>1088</v>
      </c>
      <c r="G85" s="695"/>
      <c r="H85" s="695"/>
      <c r="I85" s="695"/>
      <c r="J85" s="695"/>
      <c r="K85" s="710"/>
      <c r="L85" s="710"/>
      <c r="M85" s="710"/>
      <c r="N85" s="710"/>
      <c r="O85" s="710"/>
      <c r="P85" s="710"/>
      <c r="Q85" s="710"/>
    </row>
    <row r="86" spans="1:17">
      <c r="A86" s="759" t="s">
        <v>1074</v>
      </c>
      <c r="B86" s="720" t="s">
        <v>1075</v>
      </c>
      <c r="C86" s="695"/>
      <c r="D86" s="710"/>
      <c r="E86" s="759" t="s">
        <v>561</v>
      </c>
      <c r="F86" s="720" t="s">
        <v>1069</v>
      </c>
      <c r="G86" s="695"/>
      <c r="H86" s="695"/>
      <c r="I86" s="695"/>
      <c r="J86" s="695"/>
      <c r="K86" s="710"/>
      <c r="L86" s="710"/>
      <c r="M86" s="710"/>
      <c r="N86" s="710"/>
      <c r="O86" s="710"/>
      <c r="P86" s="710"/>
      <c r="Q86" s="710"/>
    </row>
    <row r="87" spans="1:17">
      <c r="A87" s="759" t="s">
        <v>62</v>
      </c>
      <c r="B87" s="720" t="s">
        <v>213</v>
      </c>
      <c r="C87" s="695"/>
      <c r="D87" s="710"/>
      <c r="E87" s="780" t="s">
        <v>1085</v>
      </c>
      <c r="F87" s="720" t="s">
        <v>1048</v>
      </c>
      <c r="G87" s="695"/>
      <c r="H87" s="695"/>
      <c r="I87" s="695"/>
      <c r="J87" s="695"/>
      <c r="K87" s="710"/>
      <c r="L87" s="710"/>
      <c r="M87" s="710"/>
      <c r="N87" s="710"/>
      <c r="O87" s="710"/>
      <c r="P87" s="710"/>
      <c r="Q87" s="710"/>
    </row>
    <row r="88" spans="1:17">
      <c r="A88" s="712"/>
      <c r="B88" s="728"/>
      <c r="C88" s="695"/>
      <c r="D88" s="710"/>
      <c r="E88" s="780" t="s">
        <v>1086</v>
      </c>
      <c r="F88" s="720" t="s">
        <v>1084</v>
      </c>
      <c r="G88" s="695"/>
      <c r="H88" s="695"/>
      <c r="I88" s="695"/>
      <c r="J88" s="695"/>
      <c r="K88" s="710"/>
      <c r="L88" s="710"/>
      <c r="M88" s="710"/>
      <c r="N88" s="710"/>
      <c r="O88" s="710"/>
      <c r="P88" s="710"/>
      <c r="Q88" s="710"/>
    </row>
    <row r="89" spans="1:17">
      <c r="A89" s="712"/>
      <c r="B89" s="728"/>
      <c r="C89" s="695"/>
      <c r="D89" s="710"/>
      <c r="E89" s="710"/>
      <c r="F89" s="710"/>
      <c r="G89" s="695"/>
      <c r="H89" s="695"/>
      <c r="I89" s="695"/>
      <c r="J89" s="695"/>
      <c r="K89" s="710"/>
      <c r="L89" s="710"/>
      <c r="M89" s="710"/>
      <c r="N89" s="710"/>
      <c r="O89" s="710"/>
      <c r="P89" s="710"/>
      <c r="Q89" s="710"/>
    </row>
    <row r="90" spans="1:17">
      <c r="A90" s="712"/>
      <c r="B90" s="728"/>
      <c r="C90" s="695"/>
      <c r="D90" s="710"/>
      <c r="E90" s="695"/>
      <c r="F90" s="695"/>
      <c r="G90" s="695"/>
      <c r="H90" s="695"/>
      <c r="I90" s="695"/>
      <c r="J90" s="695"/>
      <c r="K90" s="710"/>
      <c r="L90" s="710"/>
      <c r="M90" s="710"/>
      <c r="N90" s="710"/>
      <c r="O90" s="710"/>
      <c r="P90" s="710"/>
      <c r="Q90" s="710"/>
    </row>
    <row r="91" spans="1:17">
      <c r="A91" s="712"/>
      <c r="B91" s="728"/>
      <c r="C91" s="695"/>
      <c r="D91" s="710"/>
      <c r="E91" s="710"/>
      <c r="F91" s="695"/>
      <c r="G91" s="695"/>
      <c r="H91" s="695"/>
      <c r="I91" s="695"/>
      <c r="J91" s="695"/>
      <c r="K91" s="710"/>
      <c r="L91" s="710"/>
      <c r="M91" s="710"/>
      <c r="N91" s="710"/>
      <c r="O91" s="710"/>
      <c r="P91" s="710"/>
      <c r="Q91" s="710"/>
    </row>
    <row r="92" spans="1:17">
      <c r="A92" s="712"/>
      <c r="B92" s="728"/>
      <c r="C92" s="695"/>
      <c r="D92" s="710"/>
      <c r="E92" s="695"/>
      <c r="F92" s="695"/>
      <c r="G92" s="695"/>
      <c r="H92" s="695"/>
      <c r="I92" s="695"/>
      <c r="J92" s="695"/>
      <c r="K92" s="710"/>
      <c r="L92" s="710"/>
      <c r="M92" s="710"/>
      <c r="N92" s="710"/>
      <c r="O92" s="710"/>
      <c r="P92" s="710"/>
      <c r="Q92" s="710"/>
    </row>
    <row r="93" spans="1:17">
      <c r="A93" s="712"/>
      <c r="B93" s="728"/>
      <c r="C93" s="695"/>
      <c r="D93" s="710"/>
      <c r="E93" s="695"/>
      <c r="F93" s="695"/>
      <c r="G93" s="695"/>
      <c r="H93" s="695"/>
      <c r="I93" s="695"/>
      <c r="J93" s="695"/>
      <c r="K93" s="710"/>
      <c r="L93" s="710"/>
      <c r="M93" s="710"/>
      <c r="N93" s="710"/>
      <c r="O93" s="710"/>
      <c r="P93" s="710"/>
      <c r="Q93" s="710"/>
    </row>
    <row r="94" spans="1:17">
      <c r="A94" s="712"/>
      <c r="B94" s="728"/>
      <c r="C94" s="695"/>
      <c r="D94" s="710"/>
      <c r="E94" s="720"/>
      <c r="F94" s="695"/>
      <c r="G94" s="695"/>
      <c r="H94" s="695"/>
      <c r="I94" s="695"/>
      <c r="J94" s="695"/>
      <c r="K94" s="710"/>
      <c r="L94" s="710"/>
      <c r="M94" s="710"/>
      <c r="N94" s="710"/>
      <c r="O94" s="710"/>
      <c r="P94" s="710"/>
      <c r="Q94" s="710"/>
    </row>
    <row r="95" spans="1:17">
      <c r="A95" s="712"/>
      <c r="B95" s="728"/>
      <c r="C95" s="695"/>
      <c r="D95" s="710"/>
      <c r="E95" s="695"/>
      <c r="F95" s="695"/>
      <c r="G95" s="695"/>
      <c r="H95" s="695"/>
      <c r="I95" s="695"/>
      <c r="J95" s="695"/>
      <c r="K95" s="710"/>
      <c r="L95" s="710"/>
      <c r="M95" s="710"/>
      <c r="N95" s="710"/>
      <c r="O95" s="710"/>
      <c r="P95" s="710"/>
      <c r="Q95" s="710"/>
    </row>
    <row r="96" spans="1:17">
      <c r="A96" s="712"/>
      <c r="B96" s="728"/>
      <c r="C96" s="695"/>
      <c r="D96" s="710"/>
      <c r="E96" s="725"/>
      <c r="F96" s="680"/>
      <c r="G96" s="680"/>
      <c r="H96" s="680"/>
      <c r="I96" s="680"/>
      <c r="J96" s="710"/>
      <c r="K96" s="710"/>
      <c r="L96" s="710"/>
      <c r="M96" s="710"/>
      <c r="N96" s="710"/>
      <c r="O96" s="710"/>
      <c r="P96" s="710"/>
      <c r="Q96" s="710"/>
    </row>
    <row r="97" spans="1:17">
      <c r="A97" s="712"/>
      <c r="B97" s="728"/>
      <c r="C97" s="695"/>
      <c r="D97" s="710"/>
      <c r="E97" s="680"/>
      <c r="F97" s="680"/>
      <c r="G97" s="680"/>
      <c r="H97" s="680"/>
      <c r="I97" s="680"/>
      <c r="J97" s="710"/>
      <c r="K97" s="710"/>
      <c r="L97" s="710"/>
      <c r="M97" s="710"/>
      <c r="N97" s="710"/>
      <c r="O97" s="710"/>
      <c r="P97" s="710"/>
      <c r="Q97" s="710"/>
    </row>
    <row r="98" spans="1:17">
      <c r="A98" s="712"/>
      <c r="B98" s="728"/>
      <c r="C98" s="695"/>
      <c r="D98" s="710"/>
      <c r="E98" s="710"/>
      <c r="F98" s="710"/>
      <c r="G98" s="710"/>
      <c r="H98" s="710"/>
      <c r="I98" s="710"/>
      <c r="J98" s="710"/>
      <c r="K98" s="710"/>
      <c r="L98" s="710"/>
      <c r="M98" s="710"/>
      <c r="N98" s="710"/>
      <c r="O98" s="710"/>
      <c r="P98" s="710"/>
      <c r="Q98" s="710"/>
    </row>
    <row r="99" spans="1:17">
      <c r="A99" s="712"/>
      <c r="B99" s="728"/>
      <c r="C99" s="695"/>
      <c r="D99" s="710"/>
      <c r="E99" s="710"/>
      <c r="F99" s="710"/>
      <c r="G99" s="710"/>
      <c r="H99" s="710"/>
      <c r="I99" s="710"/>
      <c r="J99" s="710"/>
      <c r="K99" s="710"/>
      <c r="L99" s="710"/>
      <c r="M99" s="710"/>
      <c r="N99" s="710"/>
      <c r="O99" s="710"/>
      <c r="P99" s="710"/>
      <c r="Q99" s="710"/>
    </row>
    <row r="100" spans="1:17">
      <c r="A100" s="712"/>
      <c r="B100" s="728"/>
      <c r="C100" s="695"/>
      <c r="D100" s="710"/>
      <c r="E100" s="710"/>
      <c r="F100" s="710"/>
      <c r="G100" s="710"/>
      <c r="H100" s="710"/>
      <c r="I100" s="710"/>
      <c r="J100" s="710"/>
      <c r="K100" s="710"/>
      <c r="L100" s="710"/>
      <c r="M100" s="710"/>
      <c r="N100" s="710"/>
      <c r="O100" s="710"/>
      <c r="P100" s="710"/>
      <c r="Q100" s="710"/>
    </row>
    <row r="101" spans="1:17">
      <c r="A101" s="712"/>
      <c r="B101" s="728"/>
      <c r="C101" s="695"/>
      <c r="D101" s="710"/>
      <c r="E101" s="710"/>
      <c r="F101" s="710"/>
      <c r="G101" s="710"/>
      <c r="H101" s="710"/>
      <c r="I101" s="710"/>
      <c r="J101" s="710"/>
      <c r="K101" s="710"/>
      <c r="L101" s="710"/>
      <c r="M101" s="710"/>
      <c r="N101" s="710"/>
      <c r="O101" s="710"/>
      <c r="P101" s="710"/>
      <c r="Q101" s="710"/>
    </row>
    <row r="102" spans="1:17">
      <c r="A102" s="712"/>
      <c r="B102" s="728"/>
      <c r="C102" s="695"/>
      <c r="D102" s="776"/>
      <c r="E102" s="710"/>
      <c r="F102" s="710"/>
      <c r="G102" s="710"/>
      <c r="H102" s="710"/>
      <c r="I102" s="710"/>
      <c r="J102" s="710"/>
      <c r="K102" s="710"/>
      <c r="L102" s="710"/>
      <c r="M102" s="710"/>
      <c r="N102" s="710"/>
      <c r="O102" s="710"/>
      <c r="P102" s="710"/>
      <c r="Q102" s="710"/>
    </row>
    <row r="103" spans="1:17">
      <c r="A103" s="712"/>
      <c r="B103" s="728"/>
      <c r="C103" s="695"/>
      <c r="D103" s="710"/>
      <c r="E103" s="710"/>
      <c r="F103" s="710"/>
      <c r="G103" s="710"/>
      <c r="H103" s="710"/>
      <c r="I103" s="710"/>
      <c r="J103" s="710"/>
      <c r="K103" s="710"/>
      <c r="L103" s="710"/>
      <c r="M103" s="710"/>
      <c r="N103" s="710"/>
      <c r="O103" s="710"/>
      <c r="P103" s="710"/>
      <c r="Q103" s="710"/>
    </row>
    <row r="104" spans="1:17">
      <c r="A104" s="712"/>
      <c r="B104" s="728"/>
      <c r="C104" s="695"/>
      <c r="D104" s="710"/>
      <c r="E104" s="710"/>
      <c r="F104" s="710"/>
      <c r="G104" s="710"/>
      <c r="H104" s="710"/>
      <c r="I104" s="710"/>
      <c r="J104" s="710"/>
      <c r="K104" s="710"/>
      <c r="L104" s="710"/>
      <c r="M104" s="710"/>
      <c r="N104" s="710"/>
      <c r="O104" s="710"/>
      <c r="P104" s="710"/>
      <c r="Q104" s="710"/>
    </row>
    <row r="105" spans="1:17">
      <c r="A105" s="712"/>
      <c r="B105" s="728"/>
      <c r="C105" s="695"/>
      <c r="D105" s="776"/>
      <c r="E105" s="710"/>
      <c r="F105" s="710"/>
      <c r="G105" s="710"/>
      <c r="H105" s="710"/>
      <c r="I105" s="710"/>
      <c r="J105" s="710"/>
      <c r="K105" s="710"/>
      <c r="L105" s="710"/>
      <c r="M105" s="710"/>
      <c r="N105" s="710"/>
      <c r="O105" s="710"/>
      <c r="P105" s="710"/>
      <c r="Q105" s="710"/>
    </row>
    <row r="106" spans="1:17">
      <c r="A106" s="712"/>
      <c r="B106" s="728"/>
      <c r="C106" s="695"/>
      <c r="D106" s="710"/>
      <c r="E106" s="710"/>
      <c r="F106" s="710"/>
      <c r="G106" s="710"/>
      <c r="H106" s="710"/>
      <c r="I106" s="710"/>
      <c r="J106" s="710"/>
      <c r="K106" s="710"/>
      <c r="L106" s="710"/>
      <c r="M106" s="710"/>
      <c r="N106" s="710"/>
      <c r="O106" s="710"/>
      <c r="P106" s="710"/>
      <c r="Q106" s="710"/>
    </row>
    <row r="107" spans="1:17">
      <c r="A107" s="712"/>
      <c r="B107" s="728"/>
      <c r="C107" s="695"/>
      <c r="D107" s="776"/>
      <c r="E107" s="710"/>
      <c r="F107" s="710"/>
      <c r="G107" s="710"/>
      <c r="H107" s="710"/>
      <c r="I107" s="710"/>
      <c r="J107" s="710"/>
      <c r="K107" s="710"/>
      <c r="L107" s="710"/>
      <c r="M107" s="710"/>
      <c r="N107" s="710"/>
      <c r="O107" s="710"/>
      <c r="P107" s="710"/>
      <c r="Q107" s="710"/>
    </row>
    <row r="108" spans="1:17">
      <c r="A108" s="712"/>
      <c r="B108" s="728"/>
      <c r="C108" s="695"/>
      <c r="D108" s="776"/>
      <c r="E108" s="710"/>
      <c r="F108" s="710"/>
      <c r="G108" s="710"/>
      <c r="H108" s="710"/>
      <c r="I108" s="710"/>
      <c r="J108" s="710"/>
      <c r="K108" s="710"/>
      <c r="L108" s="710"/>
      <c r="M108" s="710"/>
      <c r="N108" s="710"/>
      <c r="O108" s="710"/>
      <c r="P108" s="710"/>
      <c r="Q108" s="710"/>
    </row>
    <row r="109" spans="1:17">
      <c r="A109" s="712"/>
      <c r="B109" s="728"/>
      <c r="C109" s="695"/>
      <c r="D109" s="710"/>
      <c r="E109" s="710"/>
      <c r="F109" s="710"/>
      <c r="G109" s="710"/>
      <c r="H109" s="710"/>
      <c r="I109" s="710"/>
      <c r="J109" s="710"/>
      <c r="K109" s="710"/>
      <c r="L109" s="710"/>
      <c r="M109" s="710"/>
      <c r="N109" s="710"/>
      <c r="O109" s="710"/>
      <c r="P109" s="710"/>
      <c r="Q109" s="710"/>
    </row>
    <row r="110" spans="1:17">
      <c r="A110" s="712"/>
      <c r="B110" s="728"/>
      <c r="C110" s="695"/>
      <c r="D110" s="776"/>
      <c r="E110" s="710"/>
      <c r="F110" s="710"/>
      <c r="G110" s="710"/>
      <c r="H110" s="710"/>
      <c r="I110" s="710"/>
      <c r="J110" s="710"/>
      <c r="K110" s="710"/>
      <c r="L110" s="710"/>
      <c r="M110" s="710"/>
      <c r="N110" s="710"/>
      <c r="O110" s="710"/>
      <c r="P110" s="710"/>
      <c r="Q110" s="710"/>
    </row>
    <row r="111" spans="1:17">
      <c r="A111" s="714"/>
      <c r="B111" s="720"/>
      <c r="C111" s="714"/>
      <c r="D111" s="776"/>
      <c r="E111" s="710"/>
      <c r="F111" s="710"/>
      <c r="G111" s="710"/>
      <c r="H111" s="710"/>
      <c r="I111" s="710"/>
      <c r="J111" s="710"/>
      <c r="K111" s="710"/>
      <c r="L111" s="710"/>
      <c r="M111" s="710"/>
      <c r="N111" s="710"/>
      <c r="O111" s="710"/>
      <c r="P111" s="710"/>
      <c r="Q111" s="710"/>
    </row>
    <row r="112" spans="1:17">
      <c r="A112" s="712"/>
      <c r="B112" s="728"/>
      <c r="C112" s="723"/>
      <c r="D112" s="776"/>
      <c r="E112" s="710"/>
      <c r="F112" s="710"/>
      <c r="G112" s="710"/>
      <c r="H112" s="710"/>
      <c r="I112" s="710"/>
      <c r="J112" s="710"/>
      <c r="K112" s="710"/>
      <c r="L112" s="710"/>
      <c r="M112" s="710"/>
      <c r="N112" s="710"/>
      <c r="O112" s="710"/>
      <c r="P112" s="710"/>
      <c r="Q112" s="710"/>
    </row>
    <row r="113" spans="1:17">
      <c r="A113" s="712"/>
      <c r="B113" s="728"/>
      <c r="C113" s="723"/>
      <c r="D113" s="776"/>
      <c r="E113" s="710"/>
      <c r="F113" s="710"/>
      <c r="G113" s="710"/>
      <c r="H113" s="710"/>
      <c r="I113" s="710"/>
      <c r="J113" s="710"/>
      <c r="K113" s="710"/>
      <c r="L113" s="710"/>
      <c r="M113" s="710"/>
      <c r="N113" s="710"/>
      <c r="O113" s="710"/>
      <c r="P113" s="710"/>
      <c r="Q113" s="710"/>
    </row>
    <row r="114" spans="1:17">
      <c r="A114" s="712"/>
      <c r="B114" s="728"/>
      <c r="C114" s="695"/>
      <c r="D114" s="710"/>
      <c r="E114" s="710"/>
      <c r="F114" s="710"/>
      <c r="G114" s="710"/>
      <c r="H114" s="710"/>
      <c r="I114" s="710"/>
      <c r="J114" s="710"/>
      <c r="K114" s="710"/>
      <c r="L114" s="710"/>
      <c r="M114" s="710"/>
      <c r="N114" s="710"/>
      <c r="O114" s="710"/>
      <c r="P114" s="710"/>
      <c r="Q114" s="710"/>
    </row>
    <row r="115" spans="1:17">
      <c r="A115" s="712"/>
      <c r="B115" s="728"/>
      <c r="C115" s="695"/>
      <c r="D115" s="710"/>
      <c r="E115" s="710"/>
      <c r="F115" s="710"/>
      <c r="G115" s="710"/>
      <c r="H115" s="710"/>
      <c r="I115" s="710"/>
      <c r="J115" s="710"/>
      <c r="K115" s="710"/>
      <c r="L115" s="710"/>
      <c r="M115" s="710"/>
      <c r="N115" s="710"/>
      <c r="O115" s="710"/>
      <c r="P115" s="710"/>
      <c r="Q115" s="710"/>
    </row>
    <row r="116" spans="1:17">
      <c r="A116" s="712"/>
      <c r="B116" s="728"/>
      <c r="C116" s="695"/>
      <c r="D116" s="710"/>
      <c r="E116" s="710"/>
      <c r="F116" s="710"/>
      <c r="G116" s="710"/>
      <c r="H116" s="710"/>
      <c r="I116" s="710"/>
      <c r="J116" s="710"/>
      <c r="K116" s="710"/>
      <c r="L116" s="710"/>
      <c r="M116" s="710"/>
      <c r="N116" s="710"/>
      <c r="O116" s="710"/>
      <c r="P116" s="710"/>
      <c r="Q116" s="710"/>
    </row>
    <row r="117" spans="1:17">
      <c r="A117" s="712"/>
      <c r="B117" s="728"/>
      <c r="C117" s="695"/>
      <c r="D117" s="776"/>
      <c r="E117" s="710"/>
      <c r="F117" s="710"/>
      <c r="G117" s="710"/>
      <c r="H117" s="710"/>
      <c r="I117" s="710"/>
      <c r="J117" s="710"/>
      <c r="K117" s="710"/>
      <c r="L117" s="710"/>
      <c r="M117" s="710"/>
      <c r="N117" s="710"/>
      <c r="O117" s="710"/>
      <c r="P117" s="710"/>
      <c r="Q117" s="710"/>
    </row>
    <row r="118" spans="1:17">
      <c r="A118" s="712"/>
      <c r="B118" s="728"/>
      <c r="C118" s="695"/>
      <c r="D118" s="710"/>
      <c r="E118" s="710"/>
      <c r="F118" s="710"/>
      <c r="G118" s="710"/>
      <c r="H118" s="710"/>
      <c r="I118" s="710"/>
      <c r="J118" s="710"/>
      <c r="K118" s="710"/>
      <c r="L118" s="710"/>
      <c r="M118" s="710"/>
      <c r="N118" s="710"/>
      <c r="O118" s="710"/>
      <c r="P118" s="710"/>
      <c r="Q118" s="710"/>
    </row>
    <row r="119" spans="1:17">
      <c r="A119" s="712"/>
      <c r="B119" s="728"/>
      <c r="C119" s="695"/>
      <c r="D119" s="710"/>
      <c r="E119" s="710"/>
      <c r="F119" s="710"/>
      <c r="G119" s="710"/>
      <c r="H119" s="710"/>
      <c r="I119" s="710"/>
      <c r="J119" s="710"/>
      <c r="K119" s="710"/>
      <c r="L119" s="710"/>
      <c r="M119" s="710"/>
      <c r="N119" s="710"/>
      <c r="O119" s="710"/>
      <c r="P119" s="710"/>
      <c r="Q119" s="710"/>
    </row>
    <row r="120" spans="1:17">
      <c r="A120" s="712"/>
      <c r="B120" s="728"/>
      <c r="C120" s="695"/>
      <c r="D120" s="710"/>
      <c r="E120" s="710"/>
      <c r="F120" s="710"/>
      <c r="G120" s="710"/>
      <c r="H120" s="710"/>
      <c r="I120" s="710"/>
      <c r="J120" s="710"/>
      <c r="K120" s="710"/>
      <c r="L120" s="710"/>
      <c r="M120" s="710"/>
      <c r="N120" s="710"/>
      <c r="O120" s="710"/>
      <c r="P120" s="710"/>
      <c r="Q120" s="710"/>
    </row>
    <row r="121" spans="1:17">
      <c r="A121" s="712"/>
      <c r="B121" s="728"/>
      <c r="C121" s="695"/>
      <c r="D121" s="710"/>
      <c r="E121" s="710"/>
      <c r="F121" s="710"/>
      <c r="G121" s="710"/>
      <c r="H121" s="710"/>
      <c r="I121" s="710"/>
      <c r="J121" s="710"/>
      <c r="K121" s="710"/>
      <c r="L121" s="710"/>
      <c r="M121" s="710"/>
      <c r="N121" s="710"/>
      <c r="O121" s="710"/>
      <c r="P121" s="710"/>
      <c r="Q121" s="710"/>
    </row>
    <row r="122" spans="1:17">
      <c r="A122" s="712"/>
      <c r="B122" s="728"/>
      <c r="C122" s="695"/>
      <c r="D122" s="710"/>
      <c r="E122" s="710"/>
      <c r="F122" s="710"/>
      <c r="G122" s="710"/>
      <c r="H122" s="710"/>
      <c r="I122" s="710"/>
      <c r="J122" s="710"/>
      <c r="K122" s="710"/>
      <c r="L122" s="710"/>
      <c r="M122" s="710"/>
      <c r="N122" s="710"/>
      <c r="O122" s="710"/>
      <c r="P122" s="710"/>
      <c r="Q122" s="710"/>
    </row>
    <row r="123" spans="1:17">
      <c r="A123" s="712"/>
      <c r="B123" s="728"/>
      <c r="C123" s="712"/>
      <c r="D123" s="710"/>
      <c r="E123" s="710"/>
      <c r="F123" s="710"/>
      <c r="G123" s="710"/>
      <c r="H123" s="710"/>
      <c r="I123" s="710"/>
      <c r="J123" s="710"/>
      <c r="K123" s="710"/>
      <c r="L123" s="710"/>
      <c r="M123" s="710"/>
      <c r="N123" s="710"/>
      <c r="O123" s="710"/>
      <c r="P123" s="710"/>
      <c r="Q123" s="710"/>
    </row>
    <row r="124" spans="1:17">
      <c r="A124" s="712"/>
      <c r="B124" s="728"/>
      <c r="C124" s="712"/>
      <c r="D124" s="710"/>
      <c r="E124" s="710"/>
      <c r="F124" s="710"/>
      <c r="G124" s="710"/>
      <c r="H124" s="710"/>
      <c r="I124" s="710"/>
      <c r="J124" s="710"/>
      <c r="K124" s="710"/>
      <c r="L124" s="710"/>
      <c r="M124" s="710"/>
      <c r="N124" s="710"/>
      <c r="O124" s="710"/>
      <c r="P124" s="710"/>
      <c r="Q124" s="710"/>
    </row>
    <row r="125" spans="1:17">
      <c r="A125" s="712"/>
      <c r="B125" s="728"/>
      <c r="C125" s="712"/>
      <c r="D125" s="710"/>
      <c r="E125" s="710"/>
      <c r="F125" s="710"/>
      <c r="G125" s="710"/>
      <c r="H125" s="710"/>
      <c r="I125" s="710"/>
      <c r="J125" s="710"/>
      <c r="K125" s="710"/>
      <c r="L125" s="710"/>
      <c r="M125" s="710"/>
      <c r="N125" s="710"/>
      <c r="O125" s="710"/>
      <c r="P125" s="710"/>
      <c r="Q125" s="710"/>
    </row>
    <row r="126" spans="1:17" s="477" customFormat="1">
      <c r="A126" s="677"/>
      <c r="B126" s="677"/>
      <c r="C126" s="677"/>
      <c r="D126" s="677"/>
      <c r="E126" s="677"/>
      <c r="F126" s="677"/>
      <c r="G126" s="677"/>
      <c r="H126" s="677"/>
      <c r="I126" s="677"/>
      <c r="J126" s="677"/>
      <c r="K126" s="677"/>
      <c r="L126" s="677"/>
      <c r="M126" s="677"/>
      <c r="N126" s="677"/>
      <c r="O126" s="677"/>
      <c r="P126" s="677"/>
      <c r="Q126" s="677"/>
    </row>
    <row r="127" spans="1:17" s="477" customFormat="1">
      <c r="A127" s="677"/>
      <c r="B127" s="677"/>
      <c r="C127" s="677"/>
      <c r="D127" s="677"/>
      <c r="E127" s="677"/>
      <c r="F127" s="677"/>
      <c r="G127" s="677"/>
      <c r="H127" s="677"/>
      <c r="I127" s="677"/>
      <c r="J127" s="677"/>
      <c r="K127" s="677"/>
      <c r="L127" s="677"/>
      <c r="M127" s="677"/>
      <c r="N127" s="677"/>
      <c r="O127" s="677"/>
      <c r="P127" s="677"/>
      <c r="Q127" s="677"/>
    </row>
    <row r="128" spans="1:17" s="477" customFormat="1">
      <c r="A128" s="677"/>
      <c r="B128" s="677"/>
      <c r="C128" s="677"/>
      <c r="D128" s="677"/>
      <c r="E128" s="677"/>
      <c r="F128" s="677"/>
      <c r="G128" s="677"/>
      <c r="H128" s="677"/>
      <c r="I128" s="677"/>
      <c r="J128" s="677"/>
      <c r="K128" s="677"/>
      <c r="L128" s="677"/>
      <c r="M128" s="677"/>
      <c r="N128" s="677"/>
      <c r="O128" s="677"/>
      <c r="P128" s="677"/>
      <c r="Q128" s="677"/>
    </row>
    <row r="129" spans="1:17" s="477" customFormat="1">
      <c r="A129" s="677"/>
      <c r="B129" s="677"/>
      <c r="C129" s="677"/>
      <c r="D129" s="677"/>
      <c r="E129" s="677"/>
      <c r="F129" s="677"/>
      <c r="G129" s="677"/>
      <c r="H129" s="677"/>
      <c r="I129" s="677"/>
      <c r="J129" s="677"/>
      <c r="K129" s="677"/>
      <c r="L129" s="677"/>
      <c r="M129" s="677"/>
      <c r="N129" s="677"/>
      <c r="O129" s="677"/>
      <c r="P129" s="677"/>
      <c r="Q129" s="677"/>
    </row>
    <row r="130" spans="1:17" s="477" customFormat="1">
      <c r="A130" s="677"/>
      <c r="B130" s="677"/>
      <c r="C130" s="677"/>
      <c r="D130" s="677"/>
      <c r="E130" s="677"/>
      <c r="F130" s="677"/>
      <c r="G130" s="677"/>
      <c r="H130" s="677"/>
      <c r="I130" s="677"/>
      <c r="J130" s="677"/>
      <c r="K130" s="677"/>
      <c r="L130" s="677"/>
      <c r="M130" s="677"/>
      <c r="N130" s="677"/>
      <c r="O130" s="677"/>
      <c r="P130" s="677"/>
      <c r="Q130" s="677"/>
    </row>
    <row r="131" spans="1:17" s="477" customFormat="1">
      <c r="A131" s="677"/>
      <c r="B131" s="677"/>
      <c r="C131" s="677"/>
      <c r="D131" s="677"/>
      <c r="E131" s="677"/>
      <c r="F131" s="677"/>
      <c r="G131" s="677"/>
      <c r="H131" s="677"/>
      <c r="I131" s="677"/>
      <c r="J131" s="677"/>
      <c r="K131" s="677"/>
      <c r="L131" s="677"/>
      <c r="M131" s="677"/>
      <c r="N131" s="677"/>
      <c r="O131" s="677"/>
      <c r="P131" s="677"/>
      <c r="Q131" s="677"/>
    </row>
    <row r="132" spans="1:17" s="477" customFormat="1">
      <c r="A132" s="677"/>
      <c r="B132" s="677"/>
      <c r="C132" s="677"/>
      <c r="D132" s="677"/>
      <c r="E132" s="677"/>
      <c r="F132" s="677"/>
      <c r="G132" s="677"/>
      <c r="H132" s="677"/>
      <c r="I132" s="677"/>
      <c r="J132" s="677"/>
      <c r="K132" s="677"/>
      <c r="L132" s="677"/>
      <c r="M132" s="677"/>
      <c r="N132" s="677"/>
      <c r="O132" s="677"/>
      <c r="P132" s="677"/>
      <c r="Q132" s="677"/>
    </row>
    <row r="133" spans="1:17" s="477" customFormat="1">
      <c r="A133" s="677"/>
      <c r="B133" s="677"/>
      <c r="C133" s="677"/>
      <c r="D133" s="677"/>
      <c r="E133" s="677"/>
      <c r="F133" s="677"/>
      <c r="G133" s="677"/>
      <c r="H133" s="677"/>
      <c r="I133" s="677"/>
      <c r="J133" s="677"/>
      <c r="K133" s="677"/>
      <c r="L133" s="677"/>
      <c r="M133" s="677"/>
      <c r="N133" s="677"/>
      <c r="O133" s="677"/>
      <c r="P133" s="677"/>
      <c r="Q133" s="677"/>
    </row>
    <row r="134" spans="1:17" s="477" customFormat="1">
      <c r="A134" s="677"/>
      <c r="B134" s="677"/>
      <c r="C134" s="677"/>
      <c r="D134" s="677"/>
      <c r="E134" s="677"/>
      <c r="F134" s="677"/>
      <c r="G134" s="677"/>
      <c r="H134" s="677"/>
      <c r="I134" s="677"/>
      <c r="J134" s="677"/>
      <c r="K134" s="677"/>
      <c r="L134" s="677"/>
      <c r="M134" s="677"/>
      <c r="N134" s="677"/>
      <c r="O134" s="677"/>
      <c r="P134" s="677"/>
      <c r="Q134" s="677"/>
    </row>
    <row r="135" spans="1:17" s="477" customFormat="1">
      <c r="A135" s="677"/>
      <c r="B135" s="677"/>
      <c r="C135" s="677"/>
      <c r="D135" s="677"/>
      <c r="E135" s="677"/>
      <c r="F135" s="677"/>
      <c r="G135" s="677"/>
      <c r="H135" s="677"/>
      <c r="I135" s="677"/>
      <c r="J135" s="677"/>
      <c r="K135" s="677"/>
      <c r="L135" s="677"/>
      <c r="M135" s="677"/>
      <c r="N135" s="677"/>
      <c r="O135" s="677"/>
      <c r="P135" s="677"/>
      <c r="Q135" s="677"/>
    </row>
    <row r="136" spans="1:17" s="477" customFormat="1">
      <c r="A136" s="677"/>
      <c r="B136" s="677"/>
      <c r="C136" s="677"/>
      <c r="D136" s="677"/>
      <c r="E136" s="677"/>
      <c r="F136" s="677"/>
      <c r="G136" s="677"/>
      <c r="H136" s="677"/>
      <c r="I136" s="677"/>
      <c r="J136" s="677"/>
      <c r="K136" s="677"/>
      <c r="L136" s="677"/>
      <c r="M136" s="677"/>
      <c r="N136" s="677"/>
      <c r="O136" s="677"/>
      <c r="P136" s="677"/>
      <c r="Q136" s="677"/>
    </row>
    <row r="137" spans="1:17" s="477" customFormat="1">
      <c r="A137" s="677"/>
      <c r="B137" s="677"/>
      <c r="C137" s="677"/>
      <c r="D137" s="677"/>
      <c r="E137" s="677"/>
      <c r="F137" s="677"/>
      <c r="G137" s="677"/>
      <c r="H137" s="677"/>
      <c r="I137" s="677"/>
      <c r="J137" s="677"/>
      <c r="K137" s="677"/>
      <c r="L137" s="677"/>
      <c r="M137" s="677"/>
      <c r="N137" s="677"/>
      <c r="O137" s="677"/>
      <c r="P137" s="677"/>
      <c r="Q137" s="677"/>
    </row>
    <row r="138" spans="1:17" s="477" customFormat="1">
      <c r="A138" s="677"/>
      <c r="B138" s="677"/>
      <c r="C138" s="677"/>
      <c r="D138" s="677"/>
      <c r="E138" s="677"/>
      <c r="F138" s="677"/>
      <c r="G138" s="677"/>
      <c r="H138" s="677"/>
      <c r="I138" s="677"/>
      <c r="J138" s="677"/>
      <c r="K138" s="677"/>
      <c r="L138" s="677"/>
      <c r="M138" s="677"/>
      <c r="N138" s="677"/>
      <c r="O138" s="677"/>
      <c r="P138" s="677"/>
      <c r="Q138" s="677"/>
    </row>
    <row r="139" spans="1:17" s="477" customFormat="1">
      <c r="A139" s="677"/>
      <c r="B139" s="677"/>
      <c r="C139" s="677"/>
      <c r="D139" s="677"/>
      <c r="E139" s="677"/>
      <c r="F139" s="677"/>
      <c r="G139" s="677"/>
      <c r="H139" s="677"/>
      <c r="I139" s="677"/>
      <c r="J139" s="677"/>
      <c r="K139" s="677"/>
      <c r="L139" s="677"/>
      <c r="M139" s="677"/>
      <c r="N139" s="677"/>
      <c r="O139" s="677"/>
      <c r="P139" s="677"/>
      <c r="Q139" s="677"/>
    </row>
    <row r="140" spans="1:17" s="477" customFormat="1">
      <c r="A140" s="677"/>
      <c r="B140" s="677"/>
      <c r="C140" s="677"/>
      <c r="D140" s="677"/>
      <c r="E140" s="677"/>
      <c r="F140" s="677"/>
      <c r="G140" s="677"/>
      <c r="H140" s="677"/>
      <c r="I140" s="677"/>
      <c r="J140" s="677"/>
      <c r="K140" s="677"/>
      <c r="L140" s="677"/>
      <c r="M140" s="677"/>
      <c r="N140" s="677"/>
      <c r="O140" s="677"/>
      <c r="P140" s="677"/>
      <c r="Q140" s="677"/>
    </row>
    <row r="141" spans="1:17" s="477" customFormat="1">
      <c r="A141" s="677"/>
      <c r="B141" s="677"/>
      <c r="C141" s="677"/>
      <c r="D141" s="677"/>
      <c r="E141" s="677"/>
      <c r="F141" s="677"/>
      <c r="G141" s="677"/>
      <c r="H141" s="677"/>
      <c r="I141" s="677"/>
      <c r="J141" s="677"/>
      <c r="K141" s="677"/>
      <c r="L141" s="677"/>
      <c r="M141" s="677"/>
      <c r="N141" s="677"/>
      <c r="O141" s="677"/>
      <c r="P141" s="677"/>
      <c r="Q141" s="677"/>
    </row>
    <row r="142" spans="1:17" s="477" customFormat="1">
      <c r="A142" s="677"/>
      <c r="B142" s="677"/>
      <c r="C142" s="677"/>
      <c r="D142" s="677"/>
      <c r="E142" s="677"/>
      <c r="F142" s="677"/>
      <c r="G142" s="677"/>
      <c r="H142" s="677"/>
      <c r="I142" s="677"/>
      <c r="J142" s="677"/>
      <c r="K142" s="677"/>
      <c r="L142" s="677"/>
      <c r="M142" s="677"/>
      <c r="N142" s="677"/>
      <c r="O142" s="677"/>
      <c r="P142" s="677"/>
      <c r="Q142" s="677"/>
    </row>
    <row r="143" spans="1:17" s="477" customFormat="1">
      <c r="A143" s="677"/>
      <c r="B143" s="677"/>
      <c r="C143" s="677"/>
      <c r="D143" s="677"/>
      <c r="E143" s="677"/>
      <c r="F143" s="677"/>
      <c r="G143" s="677"/>
      <c r="H143" s="677"/>
      <c r="I143" s="677"/>
      <c r="J143" s="677"/>
      <c r="K143" s="677"/>
      <c r="L143" s="677"/>
      <c r="M143" s="677"/>
      <c r="N143" s="677"/>
      <c r="O143" s="677"/>
      <c r="P143" s="677"/>
      <c r="Q143" s="677"/>
    </row>
    <row r="144" spans="1:17" s="477" customFormat="1">
      <c r="A144" s="677"/>
      <c r="B144" s="677"/>
      <c r="C144" s="677"/>
      <c r="D144" s="677"/>
      <c r="E144" s="677"/>
      <c r="F144" s="677"/>
      <c r="G144" s="677"/>
      <c r="H144" s="677"/>
      <c r="I144" s="677"/>
      <c r="J144" s="677"/>
      <c r="K144" s="677"/>
      <c r="L144" s="677"/>
      <c r="M144" s="677"/>
      <c r="N144" s="677"/>
      <c r="O144" s="677"/>
      <c r="P144" s="677"/>
      <c r="Q144" s="677"/>
    </row>
    <row r="145" spans="1:17" s="477" customFormat="1">
      <c r="A145" s="677"/>
      <c r="B145" s="677"/>
      <c r="C145" s="677"/>
      <c r="D145" s="677"/>
      <c r="E145" s="677"/>
      <c r="F145" s="677"/>
      <c r="G145" s="677"/>
      <c r="H145" s="677"/>
      <c r="I145" s="677"/>
      <c r="J145" s="677"/>
      <c r="K145" s="677"/>
      <c r="L145" s="677"/>
      <c r="M145" s="677"/>
      <c r="N145" s="677"/>
      <c r="O145" s="677"/>
      <c r="P145" s="677"/>
      <c r="Q145" s="677"/>
    </row>
    <row r="146" spans="1:17" s="477" customFormat="1">
      <c r="A146" s="677"/>
      <c r="B146" s="677"/>
      <c r="C146" s="677"/>
      <c r="D146" s="677"/>
      <c r="E146" s="677"/>
      <c r="F146" s="677"/>
      <c r="G146" s="677"/>
      <c r="H146" s="677"/>
      <c r="I146" s="677"/>
      <c r="J146" s="677"/>
      <c r="K146" s="677"/>
      <c r="L146" s="677"/>
      <c r="M146" s="677"/>
      <c r="N146" s="677"/>
      <c r="O146" s="677"/>
      <c r="P146" s="677"/>
      <c r="Q146" s="677"/>
    </row>
    <row r="147" spans="1:17" s="477" customFormat="1">
      <c r="A147" s="677"/>
      <c r="B147" s="677"/>
      <c r="C147" s="677"/>
      <c r="D147" s="677"/>
      <c r="E147" s="677"/>
      <c r="F147" s="677"/>
      <c r="G147" s="677"/>
      <c r="H147" s="677"/>
      <c r="I147" s="677"/>
      <c r="J147" s="677"/>
      <c r="K147" s="677"/>
      <c r="L147" s="677"/>
      <c r="M147" s="677"/>
      <c r="N147" s="677"/>
      <c r="O147" s="677"/>
      <c r="P147" s="677"/>
      <c r="Q147" s="677"/>
    </row>
    <row r="148" spans="1:17" s="477" customFormat="1">
      <c r="A148" s="677"/>
      <c r="B148" s="677"/>
      <c r="C148" s="677"/>
      <c r="D148" s="677"/>
      <c r="E148" s="677"/>
      <c r="F148" s="677"/>
      <c r="G148" s="677"/>
      <c r="H148" s="677"/>
      <c r="I148" s="677"/>
      <c r="J148" s="677"/>
      <c r="K148" s="677"/>
      <c r="L148" s="677"/>
      <c r="M148" s="677"/>
      <c r="N148" s="677"/>
      <c r="O148" s="677"/>
      <c r="P148" s="677"/>
      <c r="Q148" s="677"/>
    </row>
    <row r="149" spans="1:17" s="477" customFormat="1">
      <c r="A149" s="677"/>
      <c r="B149" s="677"/>
      <c r="C149" s="677"/>
      <c r="D149" s="677"/>
      <c r="E149" s="677"/>
      <c r="F149" s="677"/>
      <c r="G149" s="677"/>
      <c r="H149" s="677"/>
      <c r="I149" s="677"/>
      <c r="J149" s="677"/>
      <c r="K149" s="677"/>
      <c r="L149" s="677"/>
      <c r="M149" s="677"/>
      <c r="N149" s="677"/>
      <c r="O149" s="677"/>
      <c r="P149" s="677"/>
      <c r="Q149" s="677"/>
    </row>
    <row r="150" spans="1:17" s="477" customFormat="1">
      <c r="A150" s="677"/>
      <c r="B150" s="677"/>
      <c r="C150" s="677"/>
      <c r="D150" s="677"/>
      <c r="E150" s="677"/>
      <c r="F150" s="677"/>
      <c r="G150" s="677"/>
      <c r="H150" s="677"/>
      <c r="I150" s="677"/>
      <c r="J150" s="677"/>
      <c r="K150" s="677"/>
      <c r="L150" s="677"/>
      <c r="M150" s="677"/>
      <c r="N150" s="677"/>
      <c r="O150" s="677"/>
      <c r="P150" s="677"/>
      <c r="Q150" s="677"/>
    </row>
    <row r="151" spans="1:17" s="477" customFormat="1">
      <c r="A151" s="677"/>
      <c r="B151" s="677"/>
      <c r="C151" s="677"/>
      <c r="D151" s="677"/>
      <c r="E151" s="677"/>
      <c r="F151" s="677"/>
      <c r="G151" s="677"/>
      <c r="H151" s="677"/>
      <c r="I151" s="677"/>
      <c r="J151" s="677"/>
      <c r="K151" s="677"/>
      <c r="L151" s="677"/>
      <c r="M151" s="677"/>
      <c r="N151" s="677"/>
      <c r="O151" s="677"/>
      <c r="P151" s="677"/>
      <c r="Q151" s="677"/>
    </row>
    <row r="152" spans="1:17" s="477" customFormat="1">
      <c r="A152" s="677"/>
      <c r="B152" s="677"/>
      <c r="C152" s="677"/>
      <c r="D152" s="677"/>
      <c r="E152" s="677"/>
      <c r="F152" s="677"/>
      <c r="G152" s="677"/>
      <c r="H152" s="677"/>
      <c r="I152" s="677"/>
      <c r="J152" s="677"/>
      <c r="K152" s="677"/>
      <c r="L152" s="677"/>
      <c r="M152" s="677"/>
      <c r="N152" s="677"/>
      <c r="O152" s="677"/>
      <c r="P152" s="677"/>
      <c r="Q152" s="677"/>
    </row>
    <row r="153" spans="1:17">
      <c r="A153" s="712"/>
      <c r="B153" s="728"/>
      <c r="C153" s="712"/>
      <c r="D153" s="710"/>
      <c r="E153" s="710"/>
      <c r="F153" s="710"/>
      <c r="G153" s="710"/>
      <c r="H153" s="710"/>
      <c r="I153" s="710"/>
      <c r="J153" s="710"/>
      <c r="K153" s="710"/>
      <c r="L153" s="710"/>
      <c r="M153" s="710"/>
      <c r="N153" s="710"/>
      <c r="O153" s="710"/>
      <c r="P153" s="710"/>
      <c r="Q153" s="710"/>
    </row>
    <row r="154" spans="1:17">
      <c r="A154" s="712"/>
      <c r="B154" s="728"/>
      <c r="C154" s="712"/>
      <c r="D154" s="710"/>
      <c r="E154" s="710"/>
      <c r="F154" s="710"/>
      <c r="G154" s="710"/>
      <c r="H154" s="710"/>
      <c r="I154" s="710"/>
      <c r="J154" s="710"/>
      <c r="K154" s="710"/>
      <c r="L154" s="710"/>
      <c r="M154" s="710"/>
      <c r="N154" s="710"/>
      <c r="O154" s="710"/>
      <c r="P154" s="710"/>
      <c r="Q154" s="710"/>
    </row>
    <row r="155" spans="1:17">
      <c r="A155" s="712"/>
      <c r="B155" s="728"/>
      <c r="C155" s="712"/>
      <c r="D155" s="710"/>
      <c r="E155" s="710"/>
      <c r="F155" s="710"/>
      <c r="G155" s="710"/>
      <c r="H155" s="710"/>
      <c r="I155" s="710"/>
      <c r="J155" s="710"/>
      <c r="K155" s="710"/>
      <c r="L155" s="710"/>
      <c r="M155" s="710"/>
      <c r="N155" s="710"/>
      <c r="O155" s="710"/>
      <c r="P155" s="710"/>
      <c r="Q155" s="710"/>
    </row>
    <row r="156" spans="1:17">
      <c r="A156" s="712"/>
      <c r="B156" s="728"/>
      <c r="C156" s="712"/>
      <c r="D156" s="710"/>
      <c r="E156" s="710"/>
      <c r="F156" s="710"/>
      <c r="G156" s="710"/>
      <c r="H156" s="710"/>
      <c r="I156" s="710"/>
      <c r="J156" s="710"/>
      <c r="K156" s="710"/>
      <c r="L156" s="710"/>
      <c r="M156" s="710"/>
      <c r="N156" s="710"/>
      <c r="O156" s="710"/>
      <c r="P156" s="710"/>
      <c r="Q156" s="710"/>
    </row>
    <row r="157" spans="1:17">
      <c r="A157" s="712"/>
      <c r="B157" s="728"/>
      <c r="C157" s="712"/>
      <c r="D157" s="710"/>
      <c r="E157" s="710"/>
      <c r="F157" s="710"/>
      <c r="G157" s="710"/>
      <c r="H157" s="710"/>
      <c r="I157" s="710"/>
      <c r="J157" s="710"/>
      <c r="K157" s="710"/>
      <c r="L157" s="710"/>
      <c r="M157" s="710"/>
      <c r="N157" s="710"/>
      <c r="O157" s="710"/>
      <c r="P157" s="710"/>
      <c r="Q157" s="710"/>
    </row>
    <row r="158" spans="1:17">
      <c r="A158" s="712"/>
      <c r="B158" s="728"/>
      <c r="C158" s="712"/>
      <c r="D158" s="710"/>
      <c r="E158" s="710"/>
      <c r="F158" s="710"/>
      <c r="G158" s="710"/>
      <c r="H158" s="710"/>
      <c r="I158" s="710"/>
      <c r="J158" s="710"/>
      <c r="K158" s="710"/>
      <c r="L158" s="710"/>
      <c r="M158" s="710"/>
      <c r="N158" s="710"/>
      <c r="O158" s="710"/>
      <c r="P158" s="710"/>
      <c r="Q158" s="710"/>
    </row>
    <row r="159" spans="1:17">
      <c r="A159" s="712"/>
      <c r="B159" s="728"/>
      <c r="C159" s="712"/>
      <c r="D159" s="710"/>
      <c r="E159" s="710"/>
      <c r="F159" s="710"/>
      <c r="G159" s="710"/>
      <c r="H159" s="710"/>
      <c r="I159" s="710"/>
      <c r="J159" s="710"/>
      <c r="K159" s="710"/>
      <c r="L159" s="710"/>
      <c r="M159" s="710"/>
      <c r="N159" s="710"/>
      <c r="O159" s="710"/>
      <c r="P159" s="710"/>
      <c r="Q159" s="710"/>
    </row>
    <row r="160" spans="1:17">
      <c r="A160" s="712"/>
      <c r="B160" s="728"/>
      <c r="C160" s="712"/>
      <c r="D160" s="677"/>
      <c r="E160" s="677"/>
      <c r="F160" s="677"/>
      <c r="G160" s="710"/>
      <c r="H160" s="710"/>
      <c r="I160" s="710"/>
      <c r="J160" s="710"/>
      <c r="K160" s="710"/>
      <c r="L160" s="710"/>
      <c r="M160" s="710"/>
      <c r="N160" s="710"/>
      <c r="O160" s="710"/>
      <c r="P160" s="710"/>
      <c r="Q160" s="710"/>
    </row>
    <row r="161" spans="1:17">
      <c r="A161" s="712"/>
      <c r="B161" s="728"/>
      <c r="C161" s="712"/>
      <c r="D161" s="677"/>
      <c r="E161" s="677"/>
      <c r="F161" s="677"/>
      <c r="G161" s="710"/>
      <c r="H161" s="710"/>
      <c r="I161" s="710"/>
      <c r="J161" s="710"/>
      <c r="K161" s="710"/>
      <c r="L161" s="710"/>
      <c r="M161" s="710"/>
      <c r="N161" s="710"/>
      <c r="O161" s="710"/>
      <c r="P161" s="710"/>
      <c r="Q161" s="710"/>
    </row>
    <row r="162" spans="1:17">
      <c r="A162" s="712"/>
      <c r="B162" s="728"/>
      <c r="C162" s="712"/>
      <c r="D162" s="677"/>
      <c r="E162" s="677"/>
      <c r="F162" s="677"/>
      <c r="G162" s="710"/>
      <c r="H162" s="710"/>
      <c r="I162" s="710"/>
      <c r="J162" s="710"/>
      <c r="K162" s="710"/>
      <c r="L162" s="710"/>
      <c r="M162" s="710"/>
      <c r="N162" s="710"/>
      <c r="O162" s="710"/>
      <c r="P162" s="710"/>
      <c r="Q162" s="710"/>
    </row>
    <row r="163" spans="1:17">
      <c r="A163" s="712"/>
      <c r="B163" s="728"/>
      <c r="C163" s="712"/>
      <c r="D163" s="677"/>
      <c r="E163" s="677"/>
      <c r="F163" s="677"/>
      <c r="G163" s="710"/>
      <c r="H163" s="710"/>
      <c r="I163" s="710"/>
      <c r="J163" s="710"/>
      <c r="K163" s="710"/>
      <c r="L163" s="710"/>
      <c r="M163" s="710"/>
      <c r="N163" s="710"/>
      <c r="O163" s="710"/>
      <c r="P163" s="710"/>
      <c r="Q163" s="710"/>
    </row>
    <row r="164" spans="1:17">
      <c r="A164" s="712"/>
      <c r="B164" s="728"/>
      <c r="C164" s="712"/>
      <c r="D164" s="677"/>
      <c r="E164" s="677"/>
      <c r="F164" s="677"/>
      <c r="G164" s="710"/>
      <c r="H164" s="710"/>
      <c r="I164" s="710"/>
      <c r="J164" s="710"/>
      <c r="K164" s="710"/>
      <c r="L164" s="710"/>
      <c r="M164" s="710"/>
      <c r="N164" s="710"/>
      <c r="O164" s="710"/>
      <c r="P164" s="710"/>
      <c r="Q164" s="710"/>
    </row>
    <row r="165" spans="1:17">
      <c r="A165" s="712"/>
      <c r="B165" s="728"/>
      <c r="C165" s="712"/>
      <c r="D165" s="677"/>
      <c r="E165" s="677"/>
      <c r="F165" s="677"/>
      <c r="G165" s="710"/>
      <c r="H165" s="710"/>
      <c r="I165" s="710"/>
      <c r="J165" s="710"/>
      <c r="K165" s="710"/>
      <c r="L165" s="710"/>
      <c r="M165" s="710"/>
      <c r="N165" s="710"/>
      <c r="O165" s="710"/>
      <c r="P165" s="710"/>
      <c r="Q165" s="710"/>
    </row>
    <row r="166" spans="1:17">
      <c r="A166" s="712"/>
      <c r="B166" s="728"/>
      <c r="C166" s="712"/>
      <c r="D166" s="677"/>
      <c r="E166" s="677"/>
      <c r="F166" s="677"/>
      <c r="G166" s="710"/>
      <c r="H166" s="710"/>
      <c r="I166" s="710"/>
      <c r="J166" s="710"/>
      <c r="K166" s="710"/>
      <c r="L166" s="710"/>
      <c r="M166" s="710"/>
      <c r="N166" s="710"/>
      <c r="O166" s="710"/>
      <c r="P166" s="710"/>
      <c r="Q166" s="710"/>
    </row>
    <row r="167" spans="1:17">
      <c r="A167" s="712"/>
      <c r="B167" s="728"/>
      <c r="C167" s="712"/>
      <c r="D167" s="677"/>
      <c r="E167" s="677"/>
      <c r="F167" s="677"/>
      <c r="G167" s="710"/>
      <c r="H167" s="710"/>
      <c r="I167" s="710"/>
      <c r="J167" s="710"/>
      <c r="K167" s="710"/>
      <c r="L167" s="710"/>
      <c r="M167" s="710"/>
      <c r="N167" s="710"/>
      <c r="O167" s="710"/>
      <c r="P167" s="710"/>
      <c r="Q167" s="710"/>
    </row>
    <row r="168" spans="1:17">
      <c r="A168" s="712"/>
      <c r="B168" s="728"/>
      <c r="C168" s="712"/>
      <c r="D168" s="677"/>
      <c r="E168" s="677"/>
      <c r="F168" s="677"/>
      <c r="G168" s="710"/>
      <c r="H168" s="710"/>
      <c r="I168" s="710"/>
      <c r="J168" s="710"/>
      <c r="K168" s="710"/>
      <c r="L168" s="710"/>
      <c r="M168" s="710"/>
      <c r="N168" s="710"/>
      <c r="O168" s="710"/>
      <c r="P168" s="710"/>
      <c r="Q168" s="710"/>
    </row>
    <row r="169" spans="1:17">
      <c r="A169" s="714"/>
      <c r="B169" s="720"/>
      <c r="C169" s="695"/>
      <c r="D169" s="677"/>
      <c r="E169" s="677"/>
      <c r="F169" s="677"/>
      <c r="G169" s="710"/>
      <c r="H169" s="710"/>
      <c r="I169" s="710"/>
      <c r="J169" s="710"/>
      <c r="K169" s="710"/>
      <c r="L169" s="710"/>
      <c r="M169" s="710"/>
      <c r="N169" s="710"/>
      <c r="O169" s="710"/>
      <c r="P169" s="710"/>
      <c r="Q169" s="710"/>
    </row>
    <row r="170" spans="1:17">
      <c r="A170" s="714"/>
      <c r="B170" s="720"/>
      <c r="C170" s="695"/>
      <c r="D170" s="677"/>
      <c r="E170" s="677"/>
      <c r="F170" s="677"/>
      <c r="G170" s="710"/>
      <c r="H170" s="710"/>
      <c r="I170" s="710"/>
      <c r="J170" s="710"/>
      <c r="K170" s="710"/>
      <c r="L170" s="710"/>
      <c r="M170" s="710"/>
      <c r="N170" s="710"/>
      <c r="O170" s="710"/>
      <c r="P170" s="710"/>
      <c r="Q170" s="710"/>
    </row>
    <row r="171" spans="1:17">
      <c r="A171" s="714"/>
      <c r="B171" s="720"/>
      <c r="C171" s="695"/>
      <c r="D171" s="677"/>
      <c r="E171" s="677"/>
      <c r="F171" s="677"/>
      <c r="G171" s="710"/>
      <c r="H171" s="710"/>
      <c r="I171" s="710"/>
      <c r="J171" s="710"/>
      <c r="K171" s="710"/>
      <c r="L171" s="710"/>
      <c r="M171" s="710"/>
      <c r="N171" s="710"/>
      <c r="O171" s="710"/>
      <c r="P171" s="710"/>
      <c r="Q171" s="710"/>
    </row>
    <row r="172" spans="1:17">
      <c r="A172" s="677"/>
      <c r="B172" s="720"/>
      <c r="C172" s="695"/>
      <c r="D172" s="677"/>
      <c r="E172" s="677"/>
      <c r="F172" s="677"/>
      <c r="G172" s="710"/>
      <c r="H172" s="710"/>
      <c r="I172" s="710"/>
      <c r="J172" s="710"/>
      <c r="K172" s="710"/>
      <c r="L172" s="710"/>
      <c r="M172" s="710"/>
      <c r="N172" s="710"/>
      <c r="O172" s="710"/>
      <c r="P172" s="710"/>
      <c r="Q172" s="710"/>
    </row>
    <row r="173" spans="1:17">
      <c r="A173" s="714"/>
      <c r="B173" s="720"/>
      <c r="C173" s="714"/>
      <c r="D173" s="677"/>
      <c r="E173" s="677"/>
      <c r="F173" s="677"/>
      <c r="G173" s="710"/>
      <c r="H173" s="710"/>
      <c r="I173" s="710"/>
      <c r="J173" s="710"/>
      <c r="K173" s="710"/>
      <c r="L173" s="710"/>
      <c r="M173" s="710"/>
      <c r="N173" s="710"/>
      <c r="O173" s="710"/>
      <c r="P173" s="710"/>
      <c r="Q173" s="710"/>
    </row>
    <row r="174" spans="1:17">
      <c r="A174" s="714"/>
      <c r="B174" s="720"/>
      <c r="C174" s="714"/>
      <c r="D174" s="677"/>
      <c r="E174" s="677"/>
      <c r="F174" s="677"/>
      <c r="G174" s="710"/>
      <c r="H174" s="710"/>
      <c r="I174" s="710"/>
      <c r="J174" s="710"/>
      <c r="K174" s="710"/>
      <c r="L174" s="710"/>
      <c r="M174" s="710"/>
      <c r="N174" s="710"/>
      <c r="O174" s="710"/>
      <c r="P174" s="710"/>
      <c r="Q174" s="710"/>
    </row>
    <row r="175" spans="1:17">
      <c r="A175" s="714"/>
      <c r="B175" s="720"/>
      <c r="C175" s="714"/>
      <c r="D175" s="677"/>
      <c r="E175" s="677"/>
      <c r="F175" s="677"/>
      <c r="G175" s="710"/>
      <c r="H175" s="710"/>
      <c r="I175" s="710"/>
      <c r="J175" s="710"/>
      <c r="K175" s="710"/>
      <c r="L175" s="710"/>
      <c r="M175" s="710"/>
      <c r="N175" s="710"/>
      <c r="O175" s="710"/>
      <c r="P175" s="710"/>
      <c r="Q175" s="710"/>
    </row>
    <row r="176" spans="1:17">
      <c r="A176" s="714"/>
      <c r="B176" s="720"/>
      <c r="C176" s="714"/>
      <c r="D176" s="677"/>
      <c r="E176" s="677"/>
      <c r="F176" s="677"/>
      <c r="G176" s="710"/>
      <c r="H176" s="710"/>
      <c r="I176" s="710"/>
      <c r="J176" s="710"/>
      <c r="K176" s="710"/>
      <c r="L176" s="710"/>
      <c r="M176" s="710"/>
      <c r="N176" s="710"/>
      <c r="O176" s="710"/>
      <c r="P176" s="710"/>
      <c r="Q176" s="710"/>
    </row>
    <row r="177" spans="1:17">
      <c r="A177" s="714"/>
      <c r="B177" s="720"/>
      <c r="C177" s="714"/>
      <c r="D177" s="677"/>
      <c r="E177" s="677"/>
      <c r="F177" s="677"/>
      <c r="G177" s="710"/>
      <c r="H177" s="710"/>
      <c r="I177" s="710"/>
      <c r="J177" s="710"/>
      <c r="K177" s="710"/>
      <c r="L177" s="710"/>
      <c r="M177" s="710"/>
      <c r="N177" s="710"/>
      <c r="O177" s="710"/>
      <c r="P177" s="710"/>
      <c r="Q177" s="710"/>
    </row>
    <row r="178" spans="1:17">
      <c r="A178" s="712"/>
      <c r="B178" s="728"/>
      <c r="C178" s="712"/>
      <c r="D178" s="710"/>
      <c r="E178" s="710"/>
      <c r="F178" s="710"/>
      <c r="G178" s="710"/>
      <c r="H178" s="710"/>
      <c r="I178" s="710"/>
      <c r="J178" s="710"/>
      <c r="K178" s="710"/>
      <c r="L178" s="710"/>
      <c r="M178" s="710"/>
      <c r="N178" s="710"/>
      <c r="O178" s="710"/>
      <c r="P178" s="710"/>
      <c r="Q178" s="710"/>
    </row>
    <row r="179" spans="1:17">
      <c r="A179" s="712"/>
      <c r="B179" s="728"/>
      <c r="C179" s="712"/>
      <c r="D179" s="710"/>
      <c r="E179" s="710"/>
      <c r="F179" s="710"/>
      <c r="G179" s="710"/>
      <c r="H179" s="710"/>
      <c r="I179" s="710"/>
      <c r="J179" s="710"/>
      <c r="K179" s="710"/>
      <c r="L179" s="710"/>
      <c r="M179" s="710"/>
      <c r="N179" s="710"/>
      <c r="O179" s="710"/>
      <c r="P179" s="710"/>
      <c r="Q179" s="710"/>
    </row>
    <row r="180" spans="1:17">
      <c r="A180" s="712"/>
      <c r="B180" s="728"/>
      <c r="C180" s="712"/>
      <c r="D180" s="710"/>
      <c r="E180" s="710"/>
      <c r="F180" s="710"/>
      <c r="G180" s="710"/>
      <c r="H180" s="710"/>
      <c r="I180" s="710"/>
      <c r="J180" s="710"/>
      <c r="K180" s="710"/>
      <c r="L180" s="710"/>
      <c r="M180" s="710"/>
      <c r="N180" s="710"/>
      <c r="O180" s="710"/>
      <c r="P180" s="710"/>
      <c r="Q180" s="710"/>
    </row>
    <row r="181" spans="1:17">
      <c r="A181" s="712"/>
      <c r="B181" s="728"/>
      <c r="C181" s="712"/>
      <c r="D181" s="710"/>
      <c r="E181" s="710"/>
      <c r="F181" s="710"/>
      <c r="G181" s="710"/>
      <c r="H181" s="710"/>
      <c r="I181" s="710"/>
      <c r="J181" s="710"/>
      <c r="K181" s="710"/>
      <c r="L181" s="710"/>
      <c r="M181" s="710"/>
      <c r="N181" s="710"/>
      <c r="O181" s="710"/>
      <c r="P181" s="710"/>
      <c r="Q181" s="710"/>
    </row>
    <row r="182" spans="1:17">
      <c r="A182" s="712"/>
      <c r="B182" s="728"/>
      <c r="C182" s="712"/>
      <c r="D182" s="710"/>
      <c r="E182" s="710"/>
      <c r="F182" s="710"/>
      <c r="G182" s="710"/>
      <c r="H182" s="710"/>
      <c r="I182" s="710"/>
      <c r="J182" s="710"/>
      <c r="K182" s="710"/>
      <c r="L182" s="710"/>
      <c r="M182" s="710"/>
      <c r="N182" s="710"/>
      <c r="O182" s="710"/>
      <c r="P182" s="710"/>
      <c r="Q182" s="710"/>
    </row>
    <row r="183" spans="1:17">
      <c r="A183" s="712"/>
      <c r="B183" s="728"/>
      <c r="C183" s="712"/>
      <c r="D183" s="710"/>
      <c r="E183" s="710"/>
      <c r="F183" s="710"/>
      <c r="G183" s="710"/>
      <c r="H183" s="710"/>
      <c r="I183" s="710"/>
      <c r="J183" s="710"/>
      <c r="K183" s="710"/>
      <c r="L183" s="710"/>
      <c r="M183" s="710"/>
      <c r="N183" s="710"/>
      <c r="O183" s="710"/>
      <c r="P183" s="710"/>
      <c r="Q183" s="710"/>
    </row>
    <row r="184" spans="1:17">
      <c r="A184" s="712"/>
      <c r="B184" s="728"/>
      <c r="C184" s="712"/>
      <c r="D184" s="710"/>
      <c r="E184" s="710"/>
      <c r="F184" s="710"/>
      <c r="G184" s="710"/>
      <c r="H184" s="710"/>
      <c r="I184" s="710"/>
      <c r="J184" s="710"/>
      <c r="K184" s="710"/>
      <c r="L184" s="710"/>
      <c r="M184" s="710"/>
      <c r="N184" s="710"/>
      <c r="O184" s="710"/>
      <c r="P184" s="710"/>
      <c r="Q184" s="710"/>
    </row>
    <row r="185" spans="1:17">
      <c r="A185" s="712"/>
      <c r="B185" s="728"/>
      <c r="C185" s="712"/>
      <c r="D185" s="710"/>
      <c r="E185" s="710"/>
      <c r="F185" s="710"/>
      <c r="G185" s="710"/>
      <c r="H185" s="710"/>
      <c r="I185" s="710"/>
      <c r="J185" s="710"/>
      <c r="K185" s="710"/>
      <c r="L185" s="710"/>
      <c r="M185" s="710"/>
      <c r="N185" s="710"/>
      <c r="O185" s="710"/>
      <c r="P185" s="710"/>
      <c r="Q185" s="710"/>
    </row>
    <row r="186" spans="1:17">
      <c r="A186" s="712"/>
      <c r="B186" s="728"/>
      <c r="C186" s="712"/>
      <c r="D186" s="710"/>
      <c r="E186" s="710"/>
      <c r="F186" s="710"/>
      <c r="G186" s="710"/>
      <c r="H186" s="710"/>
      <c r="I186" s="710"/>
      <c r="J186" s="710"/>
      <c r="K186" s="710"/>
      <c r="L186" s="710"/>
      <c r="M186" s="710"/>
      <c r="N186" s="710"/>
      <c r="O186" s="710"/>
      <c r="P186" s="710"/>
      <c r="Q186" s="710"/>
    </row>
    <row r="187" spans="1:17">
      <c r="A187" s="712"/>
      <c r="B187" s="728"/>
      <c r="C187" s="712"/>
      <c r="D187" s="710"/>
      <c r="E187" s="710"/>
      <c r="F187" s="710"/>
      <c r="G187" s="710"/>
      <c r="H187" s="710"/>
      <c r="I187" s="710"/>
      <c r="J187" s="710"/>
      <c r="K187" s="710"/>
      <c r="L187" s="710"/>
      <c r="M187" s="710"/>
      <c r="N187" s="710"/>
      <c r="O187" s="710"/>
      <c r="P187" s="710"/>
      <c r="Q187" s="710"/>
    </row>
    <row r="188" spans="1:17">
      <c r="A188" s="712"/>
      <c r="B188" s="728"/>
      <c r="C188" s="712"/>
      <c r="D188" s="710"/>
      <c r="E188" s="710"/>
      <c r="F188" s="710"/>
      <c r="G188" s="710"/>
      <c r="H188" s="710"/>
      <c r="I188" s="710"/>
      <c r="J188" s="710"/>
      <c r="K188" s="710"/>
      <c r="L188" s="710"/>
      <c r="M188" s="710"/>
      <c r="N188" s="710"/>
      <c r="O188" s="710"/>
      <c r="P188" s="710"/>
      <c r="Q188" s="710"/>
    </row>
    <row r="189" spans="1:17">
      <c r="A189" s="712"/>
      <c r="B189" s="728"/>
      <c r="C189" s="712"/>
      <c r="D189" s="710"/>
      <c r="E189" s="710"/>
      <c r="F189" s="710"/>
      <c r="G189" s="710"/>
      <c r="H189" s="710"/>
      <c r="I189" s="710"/>
      <c r="J189" s="710"/>
      <c r="K189" s="710"/>
      <c r="L189" s="710"/>
      <c r="M189" s="710"/>
      <c r="N189" s="710"/>
      <c r="O189" s="710"/>
      <c r="P189" s="710"/>
      <c r="Q189" s="710"/>
    </row>
    <row r="190" spans="1:17">
      <c r="A190" s="712"/>
      <c r="B190" s="728"/>
      <c r="C190" s="712"/>
      <c r="D190" s="710"/>
      <c r="E190" s="710"/>
      <c r="F190" s="710"/>
      <c r="G190" s="710"/>
      <c r="H190" s="710"/>
      <c r="I190" s="710"/>
      <c r="J190" s="710"/>
      <c r="K190" s="710"/>
      <c r="L190" s="710"/>
      <c r="M190" s="710"/>
      <c r="N190" s="710"/>
      <c r="O190" s="710"/>
      <c r="P190" s="710"/>
      <c r="Q190" s="710"/>
    </row>
    <row r="191" spans="1:17">
      <c r="A191" s="712"/>
      <c r="B191" s="728"/>
      <c r="C191" s="712"/>
      <c r="D191" s="710"/>
      <c r="E191" s="710"/>
      <c r="F191" s="710"/>
      <c r="G191" s="710"/>
      <c r="H191" s="710"/>
      <c r="I191" s="710"/>
      <c r="J191" s="710"/>
      <c r="K191" s="710"/>
      <c r="L191" s="710"/>
      <c r="M191" s="710"/>
      <c r="N191" s="710"/>
      <c r="O191" s="710"/>
      <c r="P191" s="710"/>
      <c r="Q191" s="710"/>
    </row>
    <row r="192" spans="1:17">
      <c r="A192" s="712"/>
      <c r="B192" s="728"/>
      <c r="C192" s="712"/>
      <c r="D192" s="710"/>
      <c r="E192" s="710"/>
      <c r="F192" s="710"/>
      <c r="G192" s="710"/>
      <c r="H192" s="710"/>
      <c r="I192" s="710"/>
      <c r="J192" s="710"/>
      <c r="K192" s="710"/>
      <c r="L192" s="710"/>
      <c r="M192" s="710"/>
      <c r="N192" s="710"/>
      <c r="O192" s="710"/>
      <c r="P192" s="710"/>
      <c r="Q192" s="710"/>
    </row>
    <row r="193" spans="1:17">
      <c r="A193" s="712"/>
      <c r="B193" s="728"/>
      <c r="C193" s="712"/>
      <c r="D193" s="710"/>
      <c r="E193" s="710"/>
      <c r="F193" s="710"/>
      <c r="G193" s="710"/>
      <c r="H193" s="710"/>
      <c r="I193" s="710"/>
      <c r="J193" s="710"/>
      <c r="K193" s="710"/>
      <c r="L193" s="710"/>
      <c r="M193" s="710"/>
      <c r="N193" s="710"/>
      <c r="O193" s="710"/>
      <c r="P193" s="710"/>
      <c r="Q193" s="710"/>
    </row>
    <row r="194" spans="1:17">
      <c r="A194" s="712"/>
      <c r="B194" s="728"/>
      <c r="C194" s="712"/>
      <c r="D194" s="710"/>
      <c r="E194" s="710"/>
      <c r="F194" s="710"/>
      <c r="G194" s="710"/>
      <c r="H194" s="710"/>
      <c r="I194" s="710"/>
      <c r="J194" s="710"/>
      <c r="K194" s="710"/>
      <c r="L194" s="710"/>
      <c r="M194" s="710"/>
      <c r="N194" s="710"/>
      <c r="O194" s="710"/>
      <c r="P194" s="710"/>
      <c r="Q194" s="710"/>
    </row>
    <row r="195" spans="1:17">
      <c r="A195" s="712"/>
      <c r="B195" s="728"/>
      <c r="C195" s="712"/>
      <c r="D195" s="710"/>
      <c r="E195" s="710"/>
      <c r="F195" s="710"/>
      <c r="G195" s="710"/>
      <c r="H195" s="710"/>
      <c r="I195" s="710"/>
      <c r="J195" s="710"/>
      <c r="K195" s="710"/>
      <c r="L195" s="710"/>
      <c r="M195" s="710"/>
      <c r="N195" s="710"/>
      <c r="O195" s="710"/>
      <c r="P195" s="710"/>
      <c r="Q195" s="710"/>
    </row>
    <row r="196" spans="1:17">
      <c r="A196" s="712"/>
      <c r="B196" s="728"/>
      <c r="C196" s="712"/>
      <c r="D196" s="710"/>
      <c r="E196" s="710"/>
      <c r="F196" s="710"/>
      <c r="G196" s="710"/>
      <c r="H196" s="710"/>
      <c r="I196" s="710"/>
      <c r="J196" s="710"/>
      <c r="K196" s="710"/>
      <c r="L196" s="710"/>
      <c r="M196" s="710"/>
      <c r="N196" s="710"/>
      <c r="O196" s="710"/>
      <c r="P196" s="710"/>
      <c r="Q196" s="710"/>
    </row>
    <row r="197" spans="1:17">
      <c r="A197" s="712"/>
      <c r="B197" s="728"/>
      <c r="C197" s="712"/>
      <c r="D197" s="710"/>
      <c r="E197" s="710"/>
      <c r="F197" s="710"/>
      <c r="G197" s="710"/>
      <c r="H197" s="710"/>
      <c r="I197" s="710"/>
      <c r="J197" s="710"/>
      <c r="K197" s="710"/>
      <c r="L197" s="710"/>
      <c r="M197" s="710"/>
      <c r="N197" s="710"/>
      <c r="O197" s="710"/>
      <c r="P197" s="710"/>
      <c r="Q197" s="710"/>
    </row>
    <row r="198" spans="1:17">
      <c r="A198" s="712"/>
      <c r="B198" s="728"/>
      <c r="C198" s="712"/>
      <c r="D198" s="710"/>
      <c r="E198" s="710"/>
      <c r="F198" s="710"/>
      <c r="G198" s="710"/>
      <c r="H198" s="710"/>
      <c r="I198" s="710"/>
      <c r="J198" s="710"/>
      <c r="K198" s="710"/>
      <c r="L198" s="710"/>
      <c r="M198" s="710"/>
      <c r="N198" s="710"/>
      <c r="O198" s="710"/>
      <c r="P198" s="710"/>
      <c r="Q198" s="710"/>
    </row>
    <row r="199" spans="1:17">
      <c r="A199" s="712"/>
      <c r="B199" s="728"/>
      <c r="C199" s="712"/>
      <c r="D199" s="710"/>
      <c r="E199" s="710"/>
      <c r="F199" s="710"/>
      <c r="G199" s="710"/>
      <c r="H199" s="710"/>
      <c r="I199" s="710"/>
      <c r="J199" s="710"/>
      <c r="K199" s="710"/>
      <c r="L199" s="710"/>
      <c r="M199" s="710"/>
      <c r="N199" s="710"/>
      <c r="O199" s="710"/>
      <c r="P199" s="710"/>
      <c r="Q199" s="710"/>
    </row>
    <row r="200" spans="1:17">
      <c r="A200" s="712"/>
      <c r="B200" s="728"/>
      <c r="C200" s="712"/>
      <c r="D200" s="710"/>
      <c r="E200" s="710"/>
      <c r="F200" s="710"/>
      <c r="G200" s="710"/>
      <c r="H200" s="710"/>
      <c r="I200" s="710"/>
      <c r="J200" s="710"/>
      <c r="K200" s="710"/>
      <c r="L200" s="710"/>
      <c r="M200" s="710"/>
      <c r="N200" s="710"/>
      <c r="O200" s="710"/>
      <c r="P200" s="710"/>
      <c r="Q200" s="710"/>
    </row>
    <row r="201" spans="1:17">
      <c r="A201" s="712"/>
      <c r="B201" s="728"/>
      <c r="C201" s="712"/>
      <c r="D201" s="710"/>
      <c r="E201" s="710"/>
      <c r="F201" s="710"/>
      <c r="G201" s="710"/>
      <c r="H201" s="710"/>
      <c r="I201" s="710"/>
      <c r="J201" s="710"/>
      <c r="K201" s="710"/>
      <c r="L201" s="710"/>
      <c r="M201" s="710"/>
      <c r="N201" s="710"/>
      <c r="O201" s="710"/>
      <c r="P201" s="710"/>
      <c r="Q201" s="710"/>
    </row>
    <row r="202" spans="1:17">
      <c r="A202" s="712"/>
      <c r="B202" s="728"/>
      <c r="C202" s="712"/>
      <c r="D202" s="710"/>
      <c r="E202" s="710"/>
      <c r="F202" s="710"/>
      <c r="G202" s="710"/>
      <c r="H202" s="710"/>
      <c r="I202" s="710"/>
      <c r="J202" s="710"/>
      <c r="K202" s="710"/>
      <c r="L202" s="710"/>
      <c r="M202" s="710"/>
      <c r="N202" s="710"/>
      <c r="O202" s="710"/>
      <c r="P202" s="710"/>
      <c r="Q202" s="710"/>
    </row>
    <row r="203" spans="1:17">
      <c r="A203" s="712"/>
      <c r="B203" s="728"/>
      <c r="C203" s="712"/>
      <c r="D203" s="710"/>
      <c r="E203" s="710"/>
      <c r="F203" s="710"/>
      <c r="G203" s="710"/>
      <c r="H203" s="710"/>
      <c r="I203" s="710"/>
      <c r="J203" s="710"/>
      <c r="K203" s="710"/>
      <c r="L203" s="710"/>
      <c r="M203" s="710"/>
      <c r="N203" s="710"/>
      <c r="O203" s="710"/>
      <c r="P203" s="710"/>
      <c r="Q203" s="710"/>
    </row>
    <row r="204" spans="1:17">
      <c r="A204" s="712"/>
      <c r="B204" s="728"/>
      <c r="C204" s="712"/>
      <c r="D204" s="710"/>
      <c r="E204" s="710"/>
      <c r="F204" s="710"/>
      <c r="G204" s="710"/>
      <c r="H204" s="710"/>
      <c r="I204" s="710"/>
      <c r="J204" s="710"/>
      <c r="K204" s="710"/>
      <c r="L204" s="710"/>
      <c r="M204" s="710"/>
      <c r="N204" s="710"/>
      <c r="O204" s="710"/>
      <c r="P204" s="710"/>
      <c r="Q204" s="710"/>
    </row>
    <row r="205" spans="1:17">
      <c r="A205" s="712"/>
      <c r="B205" s="728"/>
      <c r="C205" s="712"/>
      <c r="D205" s="710"/>
      <c r="E205" s="710"/>
      <c r="F205" s="710"/>
      <c r="G205" s="710"/>
      <c r="H205" s="710"/>
      <c r="I205" s="710"/>
      <c r="J205" s="710"/>
      <c r="K205" s="710"/>
      <c r="L205" s="710"/>
      <c r="M205" s="710"/>
      <c r="N205" s="710"/>
      <c r="O205" s="710"/>
      <c r="P205" s="710"/>
      <c r="Q205" s="710"/>
    </row>
    <row r="206" spans="1:17">
      <c r="A206" s="712"/>
      <c r="B206" s="728"/>
      <c r="C206" s="712"/>
      <c r="D206" s="710"/>
      <c r="E206" s="710"/>
      <c r="F206" s="710"/>
      <c r="G206" s="710"/>
      <c r="H206" s="710"/>
      <c r="I206" s="710"/>
      <c r="J206" s="710"/>
      <c r="K206" s="710"/>
      <c r="L206" s="710"/>
      <c r="M206" s="710"/>
      <c r="N206" s="710"/>
      <c r="O206" s="710"/>
      <c r="P206" s="710"/>
      <c r="Q206" s="710"/>
    </row>
    <row r="207" spans="1:17">
      <c r="A207" s="712"/>
      <c r="B207" s="728"/>
      <c r="C207" s="712"/>
      <c r="D207" s="710"/>
      <c r="E207" s="710"/>
      <c r="F207" s="710"/>
      <c r="G207" s="710"/>
      <c r="H207" s="710"/>
      <c r="I207" s="710"/>
      <c r="J207" s="710"/>
      <c r="K207" s="710"/>
      <c r="L207" s="710"/>
      <c r="M207" s="710"/>
      <c r="N207" s="710"/>
      <c r="O207" s="710"/>
      <c r="P207" s="710"/>
      <c r="Q207" s="710"/>
    </row>
    <row r="208" spans="1:17">
      <c r="A208" s="712"/>
      <c r="B208" s="728"/>
      <c r="C208" s="712"/>
      <c r="D208" s="710"/>
      <c r="E208" s="710"/>
      <c r="F208" s="710"/>
      <c r="G208" s="710"/>
      <c r="H208" s="710"/>
      <c r="I208" s="710"/>
      <c r="J208" s="710"/>
      <c r="K208" s="710"/>
      <c r="L208" s="710"/>
      <c r="M208" s="710"/>
      <c r="N208" s="710"/>
      <c r="O208" s="710"/>
      <c r="P208" s="710"/>
      <c r="Q208" s="710"/>
    </row>
    <row r="209" spans="1:17">
      <c r="A209" s="712"/>
      <c r="B209" s="728"/>
      <c r="C209" s="712"/>
      <c r="D209" s="710"/>
      <c r="E209" s="710"/>
      <c r="F209" s="710"/>
      <c r="G209" s="710"/>
      <c r="H209" s="710"/>
      <c r="I209" s="710"/>
      <c r="J209" s="710"/>
      <c r="K209" s="710"/>
      <c r="L209" s="710"/>
      <c r="M209" s="710"/>
      <c r="N209" s="710"/>
      <c r="O209" s="710"/>
      <c r="P209" s="710"/>
      <c r="Q209" s="710"/>
    </row>
    <row r="210" spans="1:17">
      <c r="A210" s="712"/>
      <c r="B210" s="728"/>
      <c r="C210" s="712"/>
      <c r="D210" s="710"/>
      <c r="E210" s="710"/>
      <c r="F210" s="710"/>
      <c r="G210" s="710"/>
      <c r="H210" s="710"/>
      <c r="I210" s="710"/>
      <c r="J210" s="710"/>
      <c r="K210" s="710"/>
      <c r="L210" s="710"/>
      <c r="M210" s="710"/>
      <c r="N210" s="710"/>
      <c r="O210" s="710"/>
      <c r="P210" s="710"/>
      <c r="Q210" s="710"/>
    </row>
    <row r="211" spans="1:17">
      <c r="A211" s="712"/>
      <c r="B211" s="728"/>
      <c r="C211" s="712"/>
      <c r="D211" s="710"/>
      <c r="E211" s="710"/>
      <c r="F211" s="710"/>
      <c r="G211" s="710"/>
      <c r="H211" s="710"/>
      <c r="I211" s="710"/>
      <c r="J211" s="710"/>
      <c r="K211" s="710"/>
      <c r="L211" s="710"/>
      <c r="M211" s="710"/>
      <c r="N211" s="710"/>
      <c r="O211" s="710"/>
      <c r="P211" s="710"/>
      <c r="Q211" s="710"/>
    </row>
    <row r="212" spans="1:17">
      <c r="A212" s="712"/>
      <c r="B212" s="728"/>
      <c r="C212" s="712"/>
      <c r="D212" s="710"/>
      <c r="E212" s="710"/>
      <c r="F212" s="710"/>
      <c r="G212" s="710"/>
      <c r="H212" s="710"/>
      <c r="I212" s="710"/>
      <c r="J212" s="710"/>
      <c r="K212" s="710"/>
      <c r="L212" s="710"/>
      <c r="M212" s="710"/>
      <c r="N212" s="710"/>
      <c r="O212" s="710"/>
      <c r="P212" s="710"/>
      <c r="Q212" s="710"/>
    </row>
    <row r="213" spans="1:17">
      <c r="A213" s="712"/>
      <c r="B213" s="728"/>
      <c r="C213" s="712"/>
      <c r="D213" s="710"/>
      <c r="E213" s="710"/>
      <c r="F213" s="710"/>
      <c r="G213" s="710"/>
      <c r="H213" s="710"/>
      <c r="I213" s="710"/>
      <c r="J213" s="710"/>
      <c r="K213" s="710"/>
      <c r="L213" s="710"/>
      <c r="M213" s="710"/>
      <c r="N213" s="710"/>
      <c r="O213" s="710"/>
      <c r="P213" s="710"/>
      <c r="Q213" s="710"/>
    </row>
    <row r="214" spans="1:17">
      <c r="A214" s="712"/>
      <c r="B214" s="728"/>
      <c r="C214" s="712"/>
      <c r="D214" s="710"/>
      <c r="E214" s="710"/>
      <c r="F214" s="710"/>
      <c r="G214" s="710"/>
      <c r="H214" s="710"/>
      <c r="I214" s="710"/>
      <c r="J214" s="710"/>
      <c r="K214" s="710"/>
      <c r="L214" s="710"/>
      <c r="M214" s="710"/>
      <c r="N214" s="710"/>
      <c r="O214" s="710"/>
      <c r="P214" s="710"/>
      <c r="Q214" s="710"/>
    </row>
    <row r="215" spans="1:17">
      <c r="A215" s="712"/>
      <c r="B215" s="728"/>
      <c r="C215" s="712"/>
      <c r="D215" s="710"/>
      <c r="E215" s="710"/>
      <c r="F215" s="710"/>
      <c r="G215" s="710"/>
      <c r="H215" s="710"/>
      <c r="I215" s="710"/>
      <c r="J215" s="710"/>
      <c r="K215" s="710"/>
      <c r="L215" s="710"/>
      <c r="M215" s="710"/>
      <c r="N215" s="710"/>
      <c r="O215" s="710"/>
      <c r="P215" s="710"/>
      <c r="Q215" s="710"/>
    </row>
    <row r="216" spans="1:17">
      <c r="A216" s="712"/>
      <c r="B216" s="728"/>
      <c r="C216" s="712"/>
      <c r="D216" s="710"/>
      <c r="E216" s="710"/>
      <c r="F216" s="710"/>
      <c r="G216" s="710"/>
      <c r="H216" s="710"/>
      <c r="I216" s="710"/>
      <c r="J216" s="710"/>
      <c r="K216" s="710"/>
      <c r="L216" s="710"/>
      <c r="M216" s="710"/>
      <c r="N216" s="710"/>
      <c r="O216" s="710"/>
      <c r="P216" s="710"/>
      <c r="Q216" s="710"/>
    </row>
    <row r="217" spans="1:17">
      <c r="A217" s="712"/>
      <c r="B217" s="728"/>
      <c r="C217" s="712"/>
      <c r="D217" s="710"/>
      <c r="E217" s="710"/>
      <c r="F217" s="710"/>
      <c r="G217" s="710"/>
      <c r="H217" s="710"/>
      <c r="I217" s="710"/>
      <c r="J217" s="710"/>
      <c r="K217" s="710"/>
      <c r="L217" s="710"/>
      <c r="M217" s="710"/>
      <c r="N217" s="710"/>
      <c r="O217" s="710"/>
      <c r="P217" s="710"/>
      <c r="Q217" s="710"/>
    </row>
    <row r="218" spans="1:17">
      <c r="A218" s="712"/>
      <c r="B218" s="728"/>
      <c r="C218" s="712"/>
      <c r="D218" s="710"/>
      <c r="E218" s="710"/>
      <c r="F218" s="710"/>
      <c r="G218" s="710"/>
      <c r="H218" s="710"/>
      <c r="I218" s="710"/>
      <c r="J218" s="710"/>
      <c r="K218" s="710"/>
      <c r="L218" s="710"/>
      <c r="M218" s="710"/>
      <c r="N218" s="710"/>
      <c r="O218" s="710"/>
      <c r="P218" s="710"/>
      <c r="Q218" s="710"/>
    </row>
    <row r="219" spans="1:17">
      <c r="A219" s="712"/>
      <c r="B219" s="728"/>
      <c r="C219" s="712"/>
      <c r="D219" s="710"/>
      <c r="E219" s="710"/>
      <c r="F219" s="710"/>
      <c r="G219" s="710"/>
      <c r="H219" s="710"/>
      <c r="I219" s="710"/>
      <c r="J219" s="710"/>
      <c r="K219" s="710"/>
      <c r="L219" s="710"/>
      <c r="M219" s="710"/>
      <c r="N219" s="710"/>
      <c r="O219" s="710"/>
      <c r="P219" s="710"/>
      <c r="Q219" s="710"/>
    </row>
    <row r="220" spans="1:17">
      <c r="A220" s="712"/>
      <c r="B220" s="728"/>
      <c r="C220" s="712"/>
      <c r="D220" s="710"/>
      <c r="E220" s="710"/>
      <c r="F220" s="710"/>
      <c r="G220" s="710"/>
      <c r="H220" s="710"/>
      <c r="I220" s="710"/>
      <c r="J220" s="710"/>
      <c r="K220" s="710"/>
      <c r="L220" s="710"/>
      <c r="M220" s="710"/>
      <c r="N220" s="710"/>
      <c r="O220" s="710"/>
      <c r="P220" s="710"/>
      <c r="Q220" s="710"/>
    </row>
    <row r="221" spans="1:17">
      <c r="A221" s="712"/>
      <c r="B221" s="728"/>
      <c r="C221" s="712"/>
      <c r="D221" s="710"/>
      <c r="E221" s="710"/>
      <c r="F221" s="710"/>
      <c r="G221" s="710"/>
      <c r="H221" s="710"/>
      <c r="I221" s="710"/>
      <c r="J221" s="710"/>
      <c r="K221" s="710"/>
      <c r="L221" s="710"/>
      <c r="M221" s="710"/>
      <c r="N221" s="710"/>
      <c r="O221" s="710"/>
      <c r="P221" s="710"/>
      <c r="Q221" s="710"/>
    </row>
    <row r="222" spans="1:17">
      <c r="A222" s="712"/>
      <c r="B222" s="728"/>
      <c r="C222" s="712"/>
      <c r="D222" s="710"/>
      <c r="E222" s="710"/>
      <c r="F222" s="710"/>
      <c r="G222" s="710"/>
      <c r="H222" s="710"/>
      <c r="I222" s="710"/>
      <c r="J222" s="710"/>
      <c r="K222" s="710"/>
      <c r="L222" s="710"/>
      <c r="M222" s="710"/>
      <c r="N222" s="710"/>
      <c r="O222" s="710"/>
      <c r="P222" s="710"/>
      <c r="Q222" s="710"/>
    </row>
    <row r="223" spans="1:17">
      <c r="A223" s="712"/>
      <c r="B223" s="728"/>
      <c r="C223" s="712"/>
      <c r="D223" s="710"/>
      <c r="E223" s="710"/>
      <c r="F223" s="710"/>
      <c r="G223" s="710"/>
      <c r="H223" s="710"/>
      <c r="I223" s="710"/>
      <c r="J223" s="710"/>
      <c r="K223" s="710"/>
      <c r="L223" s="710"/>
      <c r="M223" s="710"/>
      <c r="N223" s="710"/>
      <c r="O223" s="710"/>
      <c r="P223" s="710"/>
      <c r="Q223" s="710"/>
    </row>
    <row r="224" spans="1:17">
      <c r="A224" s="712"/>
      <c r="B224" s="728"/>
      <c r="C224" s="712"/>
      <c r="D224" s="710"/>
      <c r="E224" s="710"/>
      <c r="F224" s="710"/>
      <c r="G224" s="710"/>
      <c r="H224" s="710"/>
      <c r="I224" s="710"/>
      <c r="J224" s="710"/>
      <c r="K224" s="710"/>
      <c r="L224" s="710"/>
      <c r="M224" s="710"/>
      <c r="N224" s="710"/>
      <c r="O224" s="710"/>
      <c r="P224" s="710"/>
      <c r="Q224" s="710"/>
    </row>
    <row r="225" spans="1:17">
      <c r="A225" s="712"/>
      <c r="B225" s="728"/>
      <c r="C225" s="712"/>
      <c r="D225" s="710"/>
      <c r="E225" s="710"/>
      <c r="F225" s="710"/>
      <c r="G225" s="710"/>
      <c r="H225" s="710"/>
      <c r="I225" s="710"/>
      <c r="J225" s="710"/>
      <c r="K225" s="710"/>
      <c r="L225" s="710"/>
      <c r="M225" s="710"/>
      <c r="N225" s="710"/>
      <c r="O225" s="710"/>
      <c r="P225" s="710"/>
      <c r="Q225" s="710"/>
    </row>
    <row r="226" spans="1:17">
      <c r="A226" s="712"/>
      <c r="B226" s="728"/>
      <c r="C226" s="712"/>
      <c r="D226" s="710"/>
      <c r="E226" s="710"/>
      <c r="F226" s="710"/>
      <c r="G226" s="710"/>
      <c r="H226" s="710"/>
      <c r="I226" s="710"/>
      <c r="J226" s="710"/>
      <c r="K226" s="710"/>
      <c r="L226" s="710"/>
      <c r="M226" s="710"/>
      <c r="N226" s="710"/>
      <c r="O226" s="710"/>
      <c r="P226" s="710"/>
      <c r="Q226" s="710"/>
    </row>
    <row r="227" spans="1:17">
      <c r="A227" s="712"/>
      <c r="B227" s="728"/>
      <c r="C227" s="712"/>
      <c r="D227" s="710"/>
      <c r="E227" s="710"/>
      <c r="F227" s="710"/>
      <c r="G227" s="710"/>
      <c r="H227" s="710"/>
      <c r="I227" s="710"/>
      <c r="J227" s="710"/>
      <c r="K227" s="710"/>
      <c r="L227" s="710"/>
      <c r="M227" s="710"/>
      <c r="N227" s="710"/>
      <c r="O227" s="710"/>
      <c r="P227" s="710"/>
      <c r="Q227" s="710"/>
    </row>
    <row r="228" spans="1:17">
      <c r="A228" s="712"/>
      <c r="B228" s="728"/>
      <c r="C228" s="712"/>
      <c r="D228" s="710"/>
      <c r="E228" s="710"/>
      <c r="F228" s="710"/>
      <c r="G228" s="710"/>
      <c r="H228" s="710"/>
      <c r="I228" s="710"/>
      <c r="J228" s="710"/>
      <c r="K228" s="710"/>
      <c r="L228" s="710"/>
      <c r="M228" s="710"/>
      <c r="N228" s="710"/>
      <c r="O228" s="710"/>
      <c r="P228" s="710"/>
      <c r="Q228" s="710"/>
    </row>
    <row r="229" spans="1:17">
      <c r="A229" s="712"/>
      <c r="B229" s="728"/>
      <c r="C229" s="712"/>
      <c r="D229" s="710"/>
      <c r="E229" s="710"/>
      <c r="F229" s="710"/>
      <c r="G229" s="710"/>
      <c r="H229" s="710"/>
      <c r="I229" s="710"/>
      <c r="J229" s="710"/>
      <c r="K229" s="710"/>
      <c r="L229" s="710"/>
      <c r="M229" s="710"/>
      <c r="N229" s="710"/>
      <c r="O229" s="710"/>
      <c r="P229" s="710"/>
      <c r="Q229" s="710"/>
    </row>
    <row r="230" spans="1:17">
      <c r="A230" s="712"/>
      <c r="B230" s="728"/>
      <c r="C230" s="712"/>
      <c r="D230" s="710"/>
      <c r="E230" s="710"/>
      <c r="F230" s="710"/>
      <c r="G230" s="710"/>
      <c r="H230" s="710"/>
      <c r="I230" s="710"/>
      <c r="J230" s="710"/>
      <c r="K230" s="710"/>
      <c r="L230" s="710"/>
      <c r="M230" s="710"/>
      <c r="N230" s="710"/>
      <c r="O230" s="710"/>
      <c r="P230" s="710"/>
      <c r="Q230" s="710"/>
    </row>
    <row r="231" spans="1:17">
      <c r="A231" s="712"/>
      <c r="B231" s="728"/>
      <c r="C231" s="712"/>
      <c r="D231" s="710"/>
      <c r="E231" s="710"/>
      <c r="F231" s="710"/>
      <c r="G231" s="710"/>
      <c r="H231" s="710"/>
      <c r="I231" s="710"/>
      <c r="J231" s="710"/>
      <c r="K231" s="710"/>
      <c r="L231" s="710"/>
      <c r="M231" s="710"/>
      <c r="N231" s="710"/>
      <c r="O231" s="710"/>
      <c r="P231" s="710"/>
      <c r="Q231" s="710"/>
    </row>
    <row r="232" spans="1:17">
      <c r="A232" s="712"/>
      <c r="B232" s="728"/>
      <c r="C232" s="712"/>
      <c r="D232" s="710"/>
      <c r="E232" s="710"/>
      <c r="F232" s="710"/>
      <c r="G232" s="710"/>
      <c r="H232" s="710"/>
      <c r="I232" s="710"/>
      <c r="J232" s="710"/>
      <c r="K232" s="710"/>
      <c r="L232" s="710"/>
      <c r="M232" s="710"/>
      <c r="N232" s="710"/>
      <c r="O232" s="710"/>
      <c r="P232" s="710"/>
      <c r="Q232" s="710"/>
    </row>
    <row r="233" spans="1:17">
      <c r="A233" s="712"/>
      <c r="B233" s="728"/>
      <c r="C233" s="712"/>
      <c r="D233" s="710"/>
      <c r="E233" s="710"/>
      <c r="F233" s="710"/>
      <c r="G233" s="710"/>
      <c r="H233" s="710"/>
      <c r="I233" s="710"/>
      <c r="J233" s="710"/>
      <c r="K233" s="710"/>
      <c r="L233" s="710"/>
      <c r="M233" s="710"/>
      <c r="N233" s="710"/>
      <c r="O233" s="710"/>
      <c r="P233" s="710"/>
      <c r="Q233" s="710"/>
    </row>
    <row r="234" spans="1:17">
      <c r="A234" s="712"/>
      <c r="B234" s="728"/>
      <c r="C234" s="712"/>
      <c r="D234" s="710"/>
      <c r="E234" s="710"/>
      <c r="F234" s="710"/>
      <c r="G234" s="710"/>
      <c r="H234" s="710"/>
      <c r="I234" s="710"/>
      <c r="J234" s="710"/>
      <c r="K234" s="710"/>
      <c r="L234" s="710"/>
      <c r="M234" s="710"/>
      <c r="N234" s="710"/>
      <c r="O234" s="710"/>
      <c r="P234" s="710"/>
      <c r="Q234" s="710"/>
    </row>
    <row r="235" spans="1:17">
      <c r="A235" s="712"/>
      <c r="B235" s="728"/>
      <c r="C235" s="712"/>
      <c r="D235" s="710"/>
      <c r="E235" s="710"/>
      <c r="F235" s="710"/>
      <c r="G235" s="710"/>
      <c r="H235" s="710"/>
      <c r="I235" s="710"/>
      <c r="J235" s="710"/>
      <c r="K235" s="710"/>
      <c r="L235" s="710"/>
      <c r="M235" s="710"/>
      <c r="N235" s="710"/>
      <c r="O235" s="710"/>
      <c r="P235" s="710"/>
      <c r="Q235" s="710"/>
    </row>
    <row r="236" spans="1:17">
      <c r="A236" s="712"/>
      <c r="B236" s="728"/>
      <c r="C236" s="712"/>
      <c r="D236" s="710"/>
      <c r="E236" s="710"/>
      <c r="F236" s="710"/>
      <c r="G236" s="710"/>
      <c r="H236" s="710"/>
      <c r="I236" s="710"/>
      <c r="J236" s="710"/>
      <c r="K236" s="710"/>
      <c r="L236" s="710"/>
      <c r="M236" s="710"/>
      <c r="N236" s="710"/>
      <c r="O236" s="710"/>
      <c r="P236" s="710"/>
      <c r="Q236" s="710"/>
    </row>
    <row r="237" spans="1:17">
      <c r="A237" s="712"/>
      <c r="B237" s="728"/>
      <c r="C237" s="712"/>
      <c r="D237" s="710"/>
      <c r="E237" s="710"/>
      <c r="F237" s="710"/>
      <c r="G237" s="710"/>
      <c r="H237" s="710"/>
      <c r="I237" s="710"/>
      <c r="J237" s="710"/>
      <c r="K237" s="710"/>
      <c r="L237" s="710"/>
      <c r="M237" s="710"/>
      <c r="N237" s="710"/>
      <c r="O237" s="710"/>
      <c r="P237" s="710"/>
      <c r="Q237" s="710"/>
    </row>
    <row r="238" spans="1:17">
      <c r="A238" s="712"/>
      <c r="B238" s="728"/>
      <c r="C238" s="712"/>
      <c r="D238" s="710"/>
      <c r="E238" s="710"/>
      <c r="F238" s="710"/>
      <c r="G238" s="710"/>
      <c r="H238" s="710"/>
      <c r="I238" s="710"/>
      <c r="J238" s="710"/>
      <c r="K238" s="710"/>
      <c r="L238" s="710"/>
      <c r="M238" s="710"/>
      <c r="N238" s="710"/>
      <c r="O238" s="710"/>
      <c r="P238" s="710"/>
      <c r="Q238" s="710"/>
    </row>
    <row r="239" spans="1:17">
      <c r="A239" s="712"/>
      <c r="B239" s="728"/>
      <c r="C239" s="712"/>
      <c r="D239" s="710"/>
      <c r="E239" s="710"/>
      <c r="F239" s="710"/>
      <c r="G239" s="710"/>
      <c r="H239" s="710"/>
      <c r="I239" s="710"/>
      <c r="J239" s="710"/>
      <c r="K239" s="710"/>
      <c r="L239" s="710"/>
      <c r="M239" s="710"/>
      <c r="N239" s="710"/>
      <c r="O239" s="710"/>
      <c r="P239" s="710"/>
      <c r="Q239" s="710"/>
    </row>
    <row r="240" spans="1:17">
      <c r="A240" s="712"/>
      <c r="B240" s="728"/>
      <c r="C240" s="712"/>
      <c r="D240" s="710"/>
      <c r="E240" s="710"/>
      <c r="F240" s="710"/>
      <c r="G240" s="710"/>
      <c r="H240" s="710"/>
      <c r="I240" s="710"/>
      <c r="J240" s="710"/>
      <c r="K240" s="710"/>
      <c r="L240" s="710"/>
      <c r="M240" s="710"/>
      <c r="N240" s="710"/>
      <c r="O240" s="710"/>
      <c r="P240" s="710"/>
      <c r="Q240" s="710"/>
    </row>
    <row r="241" spans="1:17">
      <c r="A241" s="712"/>
      <c r="B241" s="728"/>
      <c r="C241" s="712"/>
      <c r="D241" s="710"/>
      <c r="E241" s="710"/>
      <c r="F241" s="710"/>
      <c r="G241" s="710"/>
      <c r="H241" s="710"/>
      <c r="I241" s="710"/>
      <c r="J241" s="710"/>
      <c r="K241" s="710"/>
      <c r="L241" s="710"/>
      <c r="M241" s="710"/>
      <c r="N241" s="710"/>
      <c r="O241" s="710"/>
      <c r="P241" s="710"/>
      <c r="Q241" s="710"/>
    </row>
    <row r="242" spans="1:17">
      <c r="A242" s="712"/>
      <c r="B242" s="728"/>
      <c r="C242" s="712"/>
      <c r="D242" s="710"/>
      <c r="E242" s="710"/>
      <c r="F242" s="710"/>
      <c r="G242" s="710"/>
      <c r="H242" s="710"/>
      <c r="I242" s="710"/>
      <c r="J242" s="710"/>
      <c r="K242" s="710"/>
      <c r="L242" s="710"/>
      <c r="M242" s="710"/>
      <c r="N242" s="710"/>
      <c r="O242" s="710"/>
      <c r="P242" s="710"/>
      <c r="Q242" s="710"/>
    </row>
    <row r="243" spans="1:17">
      <c r="A243" s="712"/>
      <c r="B243" s="728"/>
      <c r="C243" s="712"/>
      <c r="D243" s="710"/>
      <c r="E243" s="710"/>
      <c r="F243" s="710"/>
      <c r="G243" s="710"/>
      <c r="H243" s="710"/>
      <c r="I243" s="710"/>
      <c r="J243" s="710"/>
      <c r="K243" s="710"/>
      <c r="L243" s="710"/>
      <c r="M243" s="710"/>
      <c r="N243" s="710"/>
      <c r="O243" s="710"/>
      <c r="P243" s="710"/>
      <c r="Q243" s="710"/>
    </row>
    <row r="244" spans="1:17">
      <c r="A244" s="712"/>
      <c r="B244" s="728"/>
      <c r="C244" s="712"/>
      <c r="D244" s="710"/>
      <c r="E244" s="710"/>
      <c r="F244" s="710"/>
      <c r="G244" s="710"/>
      <c r="H244" s="710"/>
      <c r="I244" s="710"/>
      <c r="J244" s="710"/>
      <c r="K244" s="710"/>
      <c r="L244" s="710"/>
      <c r="M244" s="710"/>
      <c r="N244" s="710"/>
      <c r="O244" s="710"/>
      <c r="P244" s="710"/>
      <c r="Q244" s="710"/>
    </row>
    <row r="245" spans="1:17">
      <c r="A245" s="712"/>
      <c r="B245" s="728"/>
      <c r="C245" s="712"/>
      <c r="D245" s="710"/>
      <c r="E245" s="710"/>
      <c r="F245" s="710"/>
      <c r="G245" s="710"/>
      <c r="H245" s="710"/>
      <c r="I245" s="710"/>
      <c r="J245" s="710"/>
      <c r="K245" s="710"/>
      <c r="L245" s="710"/>
      <c r="M245" s="710"/>
      <c r="N245" s="710"/>
      <c r="O245" s="710"/>
      <c r="P245" s="710"/>
      <c r="Q245" s="710"/>
    </row>
    <row r="246" spans="1:17">
      <c r="A246" s="712"/>
      <c r="B246" s="728"/>
      <c r="C246" s="712"/>
      <c r="D246" s="710"/>
      <c r="E246" s="710"/>
      <c r="F246" s="710"/>
      <c r="G246" s="710"/>
      <c r="H246" s="710"/>
      <c r="I246" s="710"/>
      <c r="J246" s="710"/>
      <c r="K246" s="710"/>
      <c r="L246" s="710"/>
      <c r="M246" s="710"/>
      <c r="N246" s="710"/>
      <c r="O246" s="710"/>
      <c r="P246" s="710"/>
      <c r="Q246" s="710"/>
    </row>
    <row r="247" spans="1:17">
      <c r="A247" s="712"/>
      <c r="B247" s="728"/>
      <c r="C247" s="712"/>
      <c r="D247" s="710"/>
      <c r="E247" s="710"/>
      <c r="F247" s="710"/>
      <c r="G247" s="710"/>
      <c r="H247" s="710"/>
      <c r="I247" s="710"/>
      <c r="J247" s="710"/>
      <c r="K247" s="710"/>
      <c r="L247" s="710"/>
      <c r="M247" s="710"/>
      <c r="N247" s="710"/>
      <c r="O247" s="710"/>
      <c r="P247" s="710"/>
      <c r="Q247" s="710"/>
    </row>
    <row r="248" spans="1:17">
      <c r="A248" s="712"/>
      <c r="B248" s="728"/>
      <c r="C248" s="712"/>
      <c r="D248" s="710"/>
      <c r="E248" s="710"/>
      <c r="F248" s="710"/>
      <c r="G248" s="710"/>
      <c r="H248" s="710"/>
      <c r="I248" s="710"/>
      <c r="J248" s="710"/>
      <c r="K248" s="710"/>
      <c r="L248" s="710"/>
      <c r="M248" s="710"/>
      <c r="N248" s="710"/>
      <c r="O248" s="710"/>
      <c r="P248" s="710"/>
      <c r="Q248" s="710"/>
    </row>
    <row r="249" spans="1:17">
      <c r="A249" s="712"/>
      <c r="B249" s="728"/>
      <c r="C249" s="712"/>
      <c r="D249" s="710"/>
      <c r="E249" s="710"/>
      <c r="F249" s="710"/>
      <c r="G249" s="710"/>
      <c r="H249" s="710"/>
      <c r="I249" s="710"/>
      <c r="J249" s="710"/>
      <c r="K249" s="710"/>
      <c r="L249" s="710"/>
      <c r="M249" s="710"/>
      <c r="N249" s="710"/>
      <c r="O249" s="710"/>
      <c r="P249" s="710"/>
      <c r="Q249" s="710"/>
    </row>
    <row r="250" spans="1:17">
      <c r="A250" s="712"/>
      <c r="B250" s="728"/>
      <c r="C250" s="712"/>
      <c r="D250" s="710"/>
      <c r="E250" s="710"/>
      <c r="F250" s="710"/>
      <c r="G250" s="710"/>
      <c r="H250" s="710"/>
      <c r="I250" s="710"/>
      <c r="J250" s="710"/>
      <c r="K250" s="710"/>
      <c r="L250" s="710"/>
      <c r="M250" s="710"/>
      <c r="N250" s="710"/>
      <c r="O250" s="710"/>
      <c r="P250" s="710"/>
      <c r="Q250" s="710"/>
    </row>
    <row r="251" spans="1:17">
      <c r="A251" s="712"/>
      <c r="B251" s="728"/>
      <c r="C251" s="712"/>
      <c r="D251" s="710"/>
      <c r="E251" s="710"/>
      <c r="F251" s="710"/>
      <c r="G251" s="710"/>
      <c r="H251" s="710"/>
      <c r="I251" s="710"/>
      <c r="J251" s="710"/>
      <c r="K251" s="710"/>
      <c r="L251" s="710"/>
      <c r="M251" s="710"/>
      <c r="N251" s="710"/>
      <c r="O251" s="710"/>
      <c r="P251" s="710"/>
      <c r="Q251" s="710"/>
    </row>
    <row r="252" spans="1:17">
      <c r="A252" s="712"/>
      <c r="B252" s="728"/>
      <c r="C252" s="712"/>
      <c r="D252" s="710"/>
      <c r="E252" s="710"/>
      <c r="F252" s="710"/>
      <c r="G252" s="710"/>
      <c r="H252" s="710"/>
      <c r="I252" s="710"/>
      <c r="J252" s="710"/>
      <c r="K252" s="710"/>
      <c r="L252" s="710"/>
      <c r="M252" s="710"/>
      <c r="N252" s="710"/>
      <c r="O252" s="710"/>
      <c r="P252" s="710"/>
      <c r="Q252" s="710"/>
    </row>
    <row r="253" spans="1:17">
      <c r="A253" s="712"/>
      <c r="B253" s="728"/>
      <c r="C253" s="712"/>
      <c r="D253" s="710"/>
      <c r="E253" s="710"/>
      <c r="F253" s="710"/>
      <c r="G253" s="710"/>
      <c r="H253" s="710"/>
      <c r="I253" s="710"/>
      <c r="J253" s="710"/>
      <c r="K253" s="710"/>
      <c r="L253" s="710"/>
      <c r="M253" s="710"/>
      <c r="N253" s="710"/>
      <c r="O253" s="710"/>
      <c r="P253" s="710"/>
      <c r="Q253" s="710"/>
    </row>
    <row r="254" spans="1:17">
      <c r="A254" s="712"/>
      <c r="B254" s="728"/>
      <c r="C254" s="712"/>
      <c r="D254" s="710"/>
      <c r="E254" s="710"/>
      <c r="F254" s="710"/>
      <c r="G254" s="710"/>
      <c r="H254" s="710"/>
      <c r="I254" s="710"/>
      <c r="J254" s="710"/>
      <c r="K254" s="710"/>
      <c r="L254" s="710"/>
      <c r="M254" s="710"/>
      <c r="N254" s="710"/>
      <c r="O254" s="710"/>
      <c r="P254" s="710"/>
      <c r="Q254" s="710"/>
    </row>
    <row r="255" spans="1:17">
      <c r="A255" s="712"/>
      <c r="B255" s="728"/>
      <c r="C255" s="712"/>
      <c r="D255" s="710"/>
      <c r="E255" s="710"/>
      <c r="F255" s="710"/>
      <c r="G255" s="710"/>
      <c r="H255" s="710"/>
      <c r="I255" s="710"/>
      <c r="J255" s="710"/>
      <c r="K255" s="710"/>
      <c r="L255" s="710"/>
      <c r="M255" s="710"/>
      <c r="N255" s="710"/>
      <c r="O255" s="710"/>
      <c r="P255" s="710"/>
      <c r="Q255" s="710"/>
    </row>
    <row r="256" spans="1:17">
      <c r="A256" s="712"/>
      <c r="B256" s="728"/>
      <c r="C256" s="712"/>
      <c r="D256" s="710"/>
      <c r="E256" s="710"/>
      <c r="F256" s="710"/>
      <c r="G256" s="710"/>
      <c r="H256" s="710"/>
      <c r="I256" s="710"/>
      <c r="J256" s="710"/>
      <c r="K256" s="710"/>
      <c r="L256" s="710"/>
      <c r="M256" s="710"/>
      <c r="N256" s="710"/>
      <c r="O256" s="710"/>
      <c r="P256" s="710"/>
      <c r="Q256" s="710"/>
    </row>
    <row r="257" spans="1:17">
      <c r="A257" s="712"/>
      <c r="B257" s="728"/>
      <c r="C257" s="712"/>
      <c r="D257" s="710"/>
      <c r="E257" s="710"/>
      <c r="F257" s="710"/>
      <c r="G257" s="710"/>
      <c r="H257" s="710"/>
      <c r="I257" s="710"/>
      <c r="J257" s="710"/>
      <c r="K257" s="710"/>
      <c r="L257" s="710"/>
      <c r="M257" s="710"/>
      <c r="N257" s="710"/>
      <c r="O257" s="710"/>
      <c r="P257" s="710"/>
      <c r="Q257" s="710"/>
    </row>
    <row r="258" spans="1:17">
      <c r="A258" s="712"/>
      <c r="B258" s="728"/>
      <c r="C258" s="712"/>
      <c r="D258" s="710"/>
      <c r="E258" s="710"/>
      <c r="F258" s="710"/>
      <c r="G258" s="710"/>
      <c r="H258" s="710"/>
      <c r="I258" s="710"/>
      <c r="J258" s="710"/>
      <c r="K258" s="710"/>
      <c r="L258" s="710"/>
      <c r="M258" s="710"/>
      <c r="N258" s="710"/>
      <c r="O258" s="710"/>
      <c r="P258" s="710"/>
      <c r="Q258" s="710"/>
    </row>
    <row r="259" spans="1:17">
      <c r="A259" s="712"/>
      <c r="B259" s="728"/>
      <c r="C259" s="712"/>
      <c r="D259" s="710"/>
      <c r="E259" s="710"/>
      <c r="F259" s="710"/>
      <c r="G259" s="710"/>
      <c r="H259" s="710"/>
      <c r="I259" s="710"/>
      <c r="J259" s="710"/>
      <c r="K259" s="710"/>
      <c r="L259" s="710"/>
      <c r="M259" s="710"/>
      <c r="N259" s="710"/>
      <c r="O259" s="710"/>
      <c r="P259" s="710"/>
      <c r="Q259" s="710"/>
    </row>
    <row r="260" spans="1:17">
      <c r="A260" s="712"/>
      <c r="B260" s="728"/>
      <c r="C260" s="712"/>
      <c r="D260" s="710"/>
      <c r="E260" s="710"/>
      <c r="F260" s="710"/>
      <c r="G260" s="710"/>
      <c r="H260" s="710"/>
      <c r="I260" s="710"/>
      <c r="J260" s="710"/>
      <c r="K260" s="710"/>
      <c r="L260" s="710"/>
      <c r="M260" s="710"/>
      <c r="N260" s="710"/>
      <c r="O260" s="710"/>
      <c r="P260" s="710"/>
      <c r="Q260" s="710"/>
    </row>
    <row r="261" spans="1:17">
      <c r="A261" s="712"/>
      <c r="B261" s="728"/>
      <c r="C261" s="712"/>
      <c r="D261" s="710"/>
      <c r="E261" s="710"/>
      <c r="F261" s="710"/>
      <c r="G261" s="710"/>
      <c r="H261" s="710"/>
      <c r="I261" s="710"/>
      <c r="J261" s="710"/>
      <c r="K261" s="710"/>
      <c r="L261" s="710"/>
      <c r="M261" s="710"/>
      <c r="N261" s="710"/>
      <c r="O261" s="710"/>
      <c r="P261" s="710"/>
      <c r="Q261" s="710"/>
    </row>
    <row r="262" spans="1:17">
      <c r="A262" s="712"/>
      <c r="B262" s="728"/>
      <c r="C262" s="712"/>
      <c r="D262" s="710"/>
      <c r="E262" s="710"/>
      <c r="F262" s="710"/>
      <c r="G262" s="710"/>
      <c r="H262" s="710"/>
      <c r="I262" s="710"/>
      <c r="J262" s="710"/>
      <c r="K262" s="710"/>
      <c r="L262" s="710"/>
      <c r="M262" s="710"/>
      <c r="N262" s="710"/>
      <c r="O262" s="710"/>
      <c r="P262" s="710"/>
      <c r="Q262" s="710"/>
    </row>
    <row r="263" spans="1:17">
      <c r="A263" s="712"/>
      <c r="B263" s="728"/>
      <c r="C263" s="712"/>
      <c r="D263" s="710"/>
      <c r="E263" s="710"/>
      <c r="F263" s="710"/>
      <c r="G263" s="710"/>
      <c r="H263" s="710"/>
      <c r="I263" s="710"/>
      <c r="J263" s="710"/>
      <c r="K263" s="710"/>
      <c r="L263" s="710"/>
      <c r="M263" s="710"/>
      <c r="N263" s="710"/>
      <c r="O263" s="710"/>
      <c r="P263" s="710"/>
      <c r="Q263" s="710"/>
    </row>
    <row r="264" spans="1:17">
      <c r="A264" s="712"/>
      <c r="B264" s="728"/>
      <c r="C264" s="712"/>
      <c r="D264" s="710"/>
      <c r="E264" s="710"/>
      <c r="F264" s="710"/>
      <c r="G264" s="710"/>
      <c r="H264" s="710"/>
      <c r="I264" s="710"/>
      <c r="J264" s="710"/>
      <c r="K264" s="710"/>
      <c r="L264" s="710"/>
      <c r="M264" s="710"/>
      <c r="N264" s="710"/>
      <c r="O264" s="710"/>
      <c r="P264" s="710"/>
      <c r="Q264" s="710"/>
    </row>
    <row r="265" spans="1:17">
      <c r="A265" s="712"/>
      <c r="B265" s="728"/>
      <c r="C265" s="712"/>
      <c r="D265" s="710"/>
      <c r="E265" s="710"/>
      <c r="F265" s="710"/>
      <c r="G265" s="710"/>
      <c r="H265" s="710"/>
      <c r="I265" s="710"/>
      <c r="J265" s="710"/>
      <c r="K265" s="710"/>
      <c r="L265" s="710"/>
      <c r="M265" s="710"/>
      <c r="N265" s="710"/>
      <c r="O265" s="710"/>
      <c r="P265" s="710"/>
      <c r="Q265" s="710"/>
    </row>
    <row r="266" spans="1:17">
      <c r="A266" s="712"/>
      <c r="B266" s="728"/>
      <c r="C266" s="712"/>
      <c r="D266" s="710"/>
      <c r="E266" s="710"/>
      <c r="F266" s="710"/>
      <c r="G266" s="710"/>
      <c r="H266" s="710"/>
      <c r="I266" s="710"/>
      <c r="J266" s="710"/>
      <c r="K266" s="710"/>
      <c r="L266" s="710"/>
      <c r="M266" s="710"/>
      <c r="N266" s="710"/>
      <c r="O266" s="710"/>
      <c r="P266" s="710"/>
      <c r="Q266" s="710"/>
    </row>
    <row r="267" spans="1:17">
      <c r="A267" s="712"/>
      <c r="B267" s="728"/>
      <c r="C267" s="712"/>
      <c r="D267" s="710"/>
      <c r="E267" s="710"/>
      <c r="F267" s="710"/>
      <c r="G267" s="710"/>
      <c r="H267" s="710"/>
      <c r="I267" s="710"/>
      <c r="J267" s="710"/>
      <c r="K267" s="710"/>
      <c r="L267" s="710"/>
      <c r="M267" s="710"/>
      <c r="N267" s="710"/>
      <c r="O267" s="710"/>
      <c r="P267" s="710"/>
      <c r="Q267" s="710"/>
    </row>
    <row r="268" spans="1:17">
      <c r="A268" s="712"/>
      <c r="B268" s="728"/>
      <c r="C268" s="712"/>
      <c r="D268" s="710"/>
      <c r="E268" s="710"/>
      <c r="F268" s="710"/>
      <c r="G268" s="710"/>
      <c r="H268" s="710"/>
      <c r="I268" s="710"/>
      <c r="J268" s="710"/>
      <c r="K268" s="710"/>
      <c r="L268" s="710"/>
      <c r="M268" s="710"/>
      <c r="N268" s="710"/>
      <c r="O268" s="710"/>
      <c r="P268" s="710"/>
      <c r="Q268" s="710"/>
    </row>
    <row r="269" spans="1:17">
      <c r="A269" s="712"/>
      <c r="B269" s="728"/>
      <c r="C269" s="712"/>
      <c r="D269" s="710"/>
      <c r="E269" s="710"/>
      <c r="F269" s="710"/>
      <c r="G269" s="710"/>
      <c r="H269" s="710"/>
      <c r="I269" s="710"/>
      <c r="J269" s="710"/>
      <c r="K269" s="710"/>
      <c r="L269" s="710"/>
      <c r="M269" s="710"/>
      <c r="N269" s="710"/>
      <c r="O269" s="710"/>
      <c r="P269" s="710"/>
      <c r="Q269" s="710"/>
    </row>
    <row r="270" spans="1:17">
      <c r="A270" s="712"/>
      <c r="B270" s="728"/>
      <c r="C270" s="712"/>
      <c r="D270" s="710"/>
      <c r="E270" s="710"/>
      <c r="F270" s="710"/>
      <c r="G270" s="710"/>
      <c r="H270" s="710"/>
      <c r="I270" s="710"/>
      <c r="J270" s="710"/>
      <c r="K270" s="710"/>
      <c r="L270" s="710"/>
      <c r="M270" s="710"/>
      <c r="N270" s="710"/>
      <c r="O270" s="710"/>
      <c r="P270" s="710"/>
      <c r="Q270" s="710"/>
    </row>
    <row r="271" spans="1:17">
      <c r="A271" s="712"/>
      <c r="B271" s="728"/>
      <c r="C271" s="712"/>
      <c r="D271" s="710"/>
      <c r="E271" s="710"/>
      <c r="F271" s="710"/>
      <c r="G271" s="710"/>
      <c r="H271" s="710"/>
      <c r="I271" s="710"/>
      <c r="J271" s="710"/>
      <c r="K271" s="710"/>
      <c r="L271" s="710"/>
      <c r="M271" s="710"/>
      <c r="N271" s="710"/>
      <c r="O271" s="710"/>
      <c r="P271" s="710"/>
      <c r="Q271" s="710"/>
    </row>
    <row r="272" spans="1:17">
      <c r="A272" s="712"/>
      <c r="B272" s="728"/>
      <c r="C272" s="712"/>
      <c r="D272" s="710"/>
      <c r="E272" s="710"/>
      <c r="F272" s="710"/>
      <c r="G272" s="710"/>
      <c r="H272" s="710"/>
      <c r="I272" s="710"/>
      <c r="J272" s="710"/>
      <c r="K272" s="710"/>
      <c r="L272" s="710"/>
      <c r="M272" s="710"/>
      <c r="N272" s="710"/>
      <c r="O272" s="710"/>
      <c r="P272" s="710"/>
      <c r="Q272" s="710"/>
    </row>
    <row r="273" spans="1:17">
      <c r="A273" s="712"/>
      <c r="B273" s="728"/>
      <c r="C273" s="712"/>
      <c r="D273" s="710"/>
      <c r="E273" s="710"/>
      <c r="F273" s="710"/>
      <c r="G273" s="710"/>
      <c r="H273" s="710"/>
      <c r="I273" s="710"/>
      <c r="J273" s="710"/>
      <c r="K273" s="710"/>
      <c r="L273" s="710"/>
      <c r="M273" s="710"/>
      <c r="N273" s="710"/>
      <c r="O273" s="710"/>
      <c r="P273" s="710"/>
      <c r="Q273" s="710"/>
    </row>
    <row r="274" spans="1:17">
      <c r="A274" s="712"/>
      <c r="B274" s="728"/>
      <c r="C274" s="712"/>
      <c r="D274" s="710"/>
      <c r="E274" s="710"/>
      <c r="F274" s="710"/>
      <c r="G274" s="710"/>
      <c r="H274" s="710"/>
      <c r="I274" s="710"/>
      <c r="J274" s="710"/>
      <c r="K274" s="710"/>
      <c r="L274" s="710"/>
      <c r="M274" s="710"/>
      <c r="N274" s="710"/>
      <c r="O274" s="710"/>
      <c r="P274" s="710"/>
      <c r="Q274" s="710"/>
    </row>
    <row r="275" spans="1:17">
      <c r="A275" s="712"/>
      <c r="B275" s="728"/>
      <c r="C275" s="712"/>
      <c r="D275" s="710"/>
      <c r="E275" s="710"/>
      <c r="F275" s="710"/>
      <c r="G275" s="710"/>
      <c r="H275" s="710"/>
      <c r="I275" s="710"/>
      <c r="J275" s="710"/>
      <c r="K275" s="710"/>
      <c r="L275" s="710"/>
      <c r="M275" s="710"/>
      <c r="N275" s="710"/>
      <c r="O275" s="710"/>
      <c r="P275" s="710"/>
      <c r="Q275" s="710"/>
    </row>
    <row r="276" spans="1:17">
      <c r="A276" s="712"/>
      <c r="B276" s="728"/>
      <c r="C276" s="712"/>
      <c r="D276" s="710"/>
      <c r="E276" s="710"/>
      <c r="F276" s="710"/>
      <c r="G276" s="710"/>
      <c r="H276" s="710"/>
      <c r="I276" s="710"/>
      <c r="J276" s="710"/>
      <c r="K276" s="710"/>
      <c r="L276" s="710"/>
      <c r="M276" s="710"/>
      <c r="N276" s="710"/>
      <c r="O276" s="710"/>
      <c r="P276" s="710"/>
      <c r="Q276" s="710"/>
    </row>
    <row r="277" spans="1:17">
      <c r="A277" s="712"/>
      <c r="B277" s="728"/>
      <c r="C277" s="712"/>
      <c r="D277" s="710"/>
      <c r="E277" s="710"/>
      <c r="F277" s="710"/>
      <c r="G277" s="710"/>
      <c r="H277" s="710"/>
      <c r="I277" s="710"/>
      <c r="J277" s="710"/>
      <c r="K277" s="710"/>
      <c r="L277" s="710"/>
      <c r="M277" s="710"/>
      <c r="N277" s="710"/>
      <c r="O277" s="710"/>
      <c r="P277" s="710"/>
      <c r="Q277" s="710"/>
    </row>
    <row r="278" spans="1:17">
      <c r="A278" s="712"/>
      <c r="B278" s="728"/>
      <c r="C278" s="712"/>
      <c r="D278" s="710"/>
      <c r="E278" s="710"/>
      <c r="F278" s="710"/>
      <c r="G278" s="710"/>
      <c r="H278" s="710"/>
      <c r="I278" s="710"/>
      <c r="J278" s="710"/>
      <c r="K278" s="710"/>
      <c r="L278" s="710"/>
      <c r="M278" s="710"/>
      <c r="N278" s="710"/>
      <c r="O278" s="710"/>
      <c r="P278" s="710"/>
      <c r="Q278" s="710"/>
    </row>
    <row r="279" spans="1:17">
      <c r="A279" s="712"/>
      <c r="B279" s="728"/>
      <c r="C279" s="712"/>
      <c r="D279" s="710"/>
      <c r="E279" s="710"/>
      <c r="F279" s="710"/>
      <c r="G279" s="710"/>
      <c r="H279" s="710"/>
      <c r="I279" s="710"/>
      <c r="J279" s="710"/>
      <c r="K279" s="710"/>
      <c r="L279" s="710"/>
      <c r="M279" s="710"/>
      <c r="N279" s="710"/>
      <c r="O279" s="710"/>
      <c r="P279" s="710"/>
      <c r="Q279" s="710"/>
    </row>
    <row r="280" spans="1:17">
      <c r="A280" s="712"/>
      <c r="B280" s="728"/>
      <c r="C280" s="712"/>
      <c r="D280" s="710"/>
      <c r="E280" s="710"/>
      <c r="F280" s="710"/>
      <c r="G280" s="710"/>
      <c r="H280" s="710"/>
      <c r="I280" s="710"/>
      <c r="J280" s="710"/>
      <c r="K280" s="710"/>
      <c r="L280" s="710"/>
      <c r="M280" s="710"/>
      <c r="N280" s="710"/>
      <c r="O280" s="710"/>
      <c r="P280" s="710"/>
      <c r="Q280" s="710"/>
    </row>
    <row r="281" spans="1:17">
      <c r="A281" s="712"/>
      <c r="B281" s="728"/>
      <c r="C281" s="712"/>
      <c r="D281" s="710"/>
      <c r="E281" s="710"/>
      <c r="F281" s="710"/>
      <c r="G281" s="710"/>
      <c r="H281" s="710"/>
      <c r="I281" s="710"/>
      <c r="J281" s="710"/>
      <c r="K281" s="710"/>
      <c r="L281" s="710"/>
      <c r="M281" s="710"/>
      <c r="N281" s="710"/>
      <c r="O281" s="710"/>
      <c r="P281" s="710"/>
      <c r="Q281" s="710"/>
    </row>
    <row r="282" spans="1:17">
      <c r="A282" s="712"/>
      <c r="B282" s="728"/>
      <c r="C282" s="712"/>
      <c r="D282" s="710"/>
      <c r="E282" s="710"/>
      <c r="F282" s="710"/>
      <c r="G282" s="710"/>
      <c r="H282" s="710"/>
      <c r="I282" s="710"/>
      <c r="J282" s="710"/>
      <c r="K282" s="710"/>
      <c r="L282" s="710"/>
      <c r="M282" s="710"/>
      <c r="N282" s="710"/>
      <c r="O282" s="710"/>
      <c r="P282" s="710"/>
      <c r="Q282" s="710"/>
    </row>
    <row r="283" spans="1:17">
      <c r="A283" s="712"/>
      <c r="B283" s="728"/>
      <c r="C283" s="712"/>
      <c r="D283" s="710"/>
      <c r="E283" s="710"/>
      <c r="F283" s="710"/>
      <c r="G283" s="710"/>
      <c r="H283" s="710"/>
      <c r="I283" s="710"/>
      <c r="J283" s="710"/>
      <c r="K283" s="710"/>
      <c r="L283" s="710"/>
      <c r="M283" s="710"/>
      <c r="N283" s="710"/>
      <c r="O283" s="710"/>
      <c r="P283" s="710"/>
      <c r="Q283" s="710"/>
    </row>
    <row r="284" spans="1:17">
      <c r="A284" s="712"/>
      <c r="B284" s="728"/>
      <c r="C284" s="712"/>
      <c r="D284" s="710"/>
      <c r="E284" s="710"/>
      <c r="F284" s="710"/>
      <c r="G284" s="710"/>
      <c r="H284" s="710"/>
      <c r="I284" s="710"/>
      <c r="J284" s="710"/>
      <c r="K284" s="710"/>
      <c r="L284" s="710"/>
      <c r="M284" s="710"/>
      <c r="N284" s="710"/>
      <c r="O284" s="710"/>
      <c r="P284" s="710"/>
      <c r="Q284" s="710"/>
    </row>
    <row r="285" spans="1:17">
      <c r="A285" s="712"/>
      <c r="B285" s="728"/>
      <c r="C285" s="712"/>
      <c r="D285" s="710"/>
      <c r="E285" s="710"/>
      <c r="F285" s="710"/>
      <c r="G285" s="710"/>
      <c r="H285" s="710"/>
      <c r="I285" s="710"/>
      <c r="J285" s="710"/>
      <c r="K285" s="710"/>
      <c r="L285" s="710"/>
      <c r="M285" s="710"/>
      <c r="N285" s="710"/>
      <c r="O285" s="710"/>
      <c r="P285" s="710"/>
      <c r="Q285" s="710"/>
    </row>
    <row r="286" spans="1:17">
      <c r="A286" s="712"/>
      <c r="B286" s="728"/>
      <c r="C286" s="712"/>
      <c r="D286" s="710"/>
      <c r="E286" s="710"/>
      <c r="F286" s="710"/>
      <c r="G286" s="710"/>
      <c r="H286" s="710"/>
      <c r="I286" s="710"/>
      <c r="J286" s="710"/>
      <c r="K286" s="710"/>
      <c r="L286" s="710"/>
      <c r="M286" s="710"/>
      <c r="N286" s="710"/>
      <c r="O286" s="710"/>
      <c r="P286" s="710"/>
      <c r="Q286" s="710"/>
    </row>
  </sheetData>
  <mergeCells count="1">
    <mergeCell ref="F1:G2"/>
  </mergeCells>
  <printOptions horizontalCentered="1"/>
  <pageMargins left="0.7" right="0.7" top="0.75" bottom="0.75" header="0.3" footer="0.3"/>
  <pageSetup scale="79" fitToHeight="0" orientation="portrait" horizontalDpi="4294967293" verticalDpi="0" r:id="rId1"/>
  <rowBreaks count="2" manualBreakCount="2">
    <brk id="51" max="6" man="1"/>
    <brk id="89" max="6" man="1"/>
  </rowBreaks>
  <colBreaks count="1" manualBreakCount="1">
    <brk id="7" max="89" man="1"/>
  </colBreaks>
  <drawing r:id="rId2"/>
</worksheet>
</file>

<file path=xl/worksheets/sheet9.xml><?xml version="1.0" encoding="utf-8"?>
<worksheet xmlns="http://schemas.openxmlformats.org/spreadsheetml/2006/main" xmlns:r="http://schemas.openxmlformats.org/officeDocument/2006/relationships">
  <sheetPr codeName="Sheet10"/>
  <dimension ref="A1:AN125"/>
  <sheetViews>
    <sheetView zoomScaleNormal="100" workbookViewId="0">
      <selection activeCell="A2" sqref="A2"/>
    </sheetView>
  </sheetViews>
  <sheetFormatPr defaultRowHeight="12.75"/>
  <cols>
    <col min="1" max="1" width="17.140625" customWidth="1"/>
    <col min="2" max="2" width="59.7109375" customWidth="1"/>
    <col min="3" max="3" width="10.85546875" style="24" customWidth="1"/>
    <col min="4" max="9" width="12.28515625" style="24" customWidth="1"/>
    <col min="10" max="19" width="12" bestFit="1" customWidth="1"/>
    <col min="20" max="20" width="12" customWidth="1"/>
    <col min="21" max="22" width="12" bestFit="1" customWidth="1"/>
    <col min="23" max="25" width="16.5703125" style="24" bestFit="1" customWidth="1"/>
  </cols>
  <sheetData>
    <row r="1" spans="1:40" ht="15.75">
      <c r="A1" s="707" t="s">
        <v>845</v>
      </c>
      <c r="B1" s="710"/>
      <c r="C1" s="712"/>
      <c r="D1" s="712"/>
      <c r="E1" s="712"/>
      <c r="F1" s="712"/>
      <c r="G1" s="712"/>
      <c r="H1" s="712"/>
      <c r="I1" s="712"/>
      <c r="J1" s="710"/>
      <c r="K1" s="710"/>
      <c r="L1" s="710"/>
      <c r="M1" s="710"/>
      <c r="N1" s="710"/>
      <c r="O1" s="710"/>
      <c r="P1" s="710"/>
      <c r="Q1" s="710"/>
      <c r="R1" s="710"/>
      <c r="S1" s="710"/>
      <c r="T1" s="710"/>
      <c r="U1" s="710"/>
      <c r="V1" s="710"/>
      <c r="W1" s="712"/>
      <c r="X1" s="712"/>
      <c r="Y1" s="712"/>
      <c r="Z1" s="710"/>
      <c r="AA1" s="710"/>
      <c r="AB1" s="710"/>
      <c r="AC1" s="710"/>
      <c r="AD1" s="710"/>
      <c r="AE1" s="710"/>
      <c r="AF1" s="710"/>
      <c r="AG1" s="710"/>
      <c r="AH1" s="710"/>
      <c r="AI1" s="710"/>
      <c r="AJ1" s="710"/>
      <c r="AK1" s="710"/>
      <c r="AL1" s="710"/>
      <c r="AM1" s="710"/>
      <c r="AN1" s="710"/>
    </row>
    <row r="2" spans="1:40" ht="13.5" thickBot="1">
      <c r="A2" s="710"/>
      <c r="B2" s="710"/>
      <c r="C2" s="712"/>
      <c r="D2" s="712"/>
      <c r="E2" s="712"/>
      <c r="F2" s="712"/>
      <c r="G2" s="712"/>
      <c r="H2" s="712"/>
      <c r="I2" s="712"/>
      <c r="J2" s="710"/>
      <c r="K2" s="710"/>
      <c r="L2" s="710"/>
      <c r="M2" s="710"/>
      <c r="N2" s="710"/>
      <c r="O2" s="710"/>
      <c r="P2" s="710"/>
      <c r="Q2" s="710"/>
      <c r="R2" s="710"/>
      <c r="S2" s="710"/>
      <c r="T2" s="710"/>
      <c r="U2" s="710"/>
      <c r="V2" s="710"/>
      <c r="W2" s="712"/>
      <c r="X2" s="712"/>
      <c r="Y2" s="712"/>
      <c r="Z2" s="710"/>
      <c r="AA2" s="710"/>
      <c r="AB2" s="710"/>
      <c r="AC2" s="710"/>
      <c r="AD2" s="710"/>
      <c r="AE2" s="710"/>
      <c r="AF2" s="710"/>
      <c r="AG2" s="710"/>
      <c r="AH2" s="710"/>
      <c r="AI2" s="710"/>
      <c r="AJ2" s="710"/>
      <c r="AK2" s="710"/>
      <c r="AL2" s="710"/>
      <c r="AM2" s="710"/>
      <c r="AN2" s="710"/>
    </row>
    <row r="3" spans="1:40" ht="13.5" thickBot="1">
      <c r="A3" s="724" t="s">
        <v>260</v>
      </c>
      <c r="B3" s="710"/>
      <c r="C3" s="712"/>
      <c r="D3" s="1076" t="s">
        <v>264</v>
      </c>
      <c r="E3" s="1076"/>
      <c r="F3" s="1076"/>
      <c r="G3" s="1076" t="s">
        <v>265</v>
      </c>
      <c r="H3" s="1076"/>
      <c r="I3" s="1076"/>
      <c r="J3" s="1076" t="s">
        <v>29</v>
      </c>
      <c r="K3" s="1076"/>
      <c r="L3" s="1076"/>
      <c r="M3" s="1076"/>
      <c r="N3" s="1076" t="s">
        <v>266</v>
      </c>
      <c r="O3" s="1076"/>
      <c r="P3" s="1076"/>
      <c r="Q3" s="1076"/>
      <c r="R3" s="1076" t="s">
        <v>271</v>
      </c>
      <c r="S3" s="1076"/>
      <c r="T3" s="1076"/>
      <c r="U3" s="1076"/>
      <c r="V3" s="1084"/>
      <c r="W3" s="1072" t="s">
        <v>282</v>
      </c>
      <c r="X3" s="1073"/>
      <c r="Y3" s="1074"/>
      <c r="Z3" s="710"/>
      <c r="AA3" s="710"/>
      <c r="AB3" s="710"/>
      <c r="AC3" s="710"/>
      <c r="AD3" s="710"/>
      <c r="AE3" s="710"/>
      <c r="AF3" s="710"/>
      <c r="AG3" s="710"/>
      <c r="AH3" s="710"/>
      <c r="AI3" s="710"/>
      <c r="AJ3" s="710"/>
      <c r="AK3" s="710"/>
      <c r="AL3" s="710"/>
      <c r="AM3" s="710"/>
      <c r="AN3" s="710"/>
    </row>
    <row r="4" spans="1:40" ht="13.15" customHeight="1" thickBot="1">
      <c r="A4" s="885" t="s">
        <v>249</v>
      </c>
      <c r="B4" s="906" t="s">
        <v>233</v>
      </c>
      <c r="C4" s="1078" t="s">
        <v>235</v>
      </c>
      <c r="D4" s="157" t="s">
        <v>247</v>
      </c>
      <c r="E4" s="193" t="s">
        <v>248</v>
      </c>
      <c r="F4" s="194" t="s">
        <v>246</v>
      </c>
      <c r="G4" s="195" t="s">
        <v>254</v>
      </c>
      <c r="H4" s="193" t="s">
        <v>255</v>
      </c>
      <c r="I4" s="196" t="s">
        <v>256</v>
      </c>
      <c r="J4" s="157" t="s">
        <v>267</v>
      </c>
      <c r="K4" s="193" t="s">
        <v>268</v>
      </c>
      <c r="L4" s="193" t="s">
        <v>269</v>
      </c>
      <c r="M4" s="197" t="s">
        <v>270</v>
      </c>
      <c r="N4" s="157" t="s">
        <v>273</v>
      </c>
      <c r="O4" s="193" t="s">
        <v>274</v>
      </c>
      <c r="P4" s="193" t="s">
        <v>275</v>
      </c>
      <c r="Q4" s="197" t="s">
        <v>276</v>
      </c>
      <c r="R4" s="157" t="s">
        <v>272</v>
      </c>
      <c r="S4" s="193" t="s">
        <v>277</v>
      </c>
      <c r="T4" s="193" t="s">
        <v>278</v>
      </c>
      <c r="U4" s="193" t="s">
        <v>279</v>
      </c>
      <c r="V4" s="196" t="s">
        <v>280</v>
      </c>
      <c r="W4" s="230" t="s">
        <v>894</v>
      </c>
      <c r="X4" s="231" t="s">
        <v>895</v>
      </c>
      <c r="Y4" s="232" t="s">
        <v>896</v>
      </c>
      <c r="Z4" s="710"/>
      <c r="AA4" s="710"/>
      <c r="AB4" s="710"/>
      <c r="AC4" s="710"/>
      <c r="AD4" s="710"/>
      <c r="AE4" s="710"/>
      <c r="AF4" s="710"/>
      <c r="AG4" s="710"/>
      <c r="AH4" s="710"/>
      <c r="AI4" s="710"/>
      <c r="AJ4" s="710"/>
      <c r="AK4" s="710"/>
      <c r="AL4" s="710"/>
      <c r="AM4" s="710"/>
      <c r="AN4" s="710"/>
    </row>
    <row r="5" spans="1:40" ht="13.5" thickBot="1">
      <c r="A5" s="1085"/>
      <c r="B5" s="1077"/>
      <c r="C5" s="1079"/>
      <c r="D5" s="198" t="s">
        <v>253</v>
      </c>
      <c r="E5" s="199" t="s">
        <v>253</v>
      </c>
      <c r="F5" s="200" t="s">
        <v>253</v>
      </c>
      <c r="G5" s="201" t="s">
        <v>253</v>
      </c>
      <c r="H5" s="199" t="s">
        <v>253</v>
      </c>
      <c r="I5" s="202" t="s">
        <v>253</v>
      </c>
      <c r="J5" s="198" t="s">
        <v>253</v>
      </c>
      <c r="K5" s="199" t="s">
        <v>253</v>
      </c>
      <c r="L5" s="199" t="s">
        <v>253</v>
      </c>
      <c r="M5" s="203" t="s">
        <v>253</v>
      </c>
      <c r="N5" s="198" t="s">
        <v>253</v>
      </c>
      <c r="O5" s="199" t="s">
        <v>253</v>
      </c>
      <c r="P5" s="199" t="s">
        <v>253</v>
      </c>
      <c r="Q5" s="203" t="s">
        <v>253</v>
      </c>
      <c r="R5" s="198" t="s">
        <v>253</v>
      </c>
      <c r="S5" s="199" t="s">
        <v>253</v>
      </c>
      <c r="T5" s="199" t="s">
        <v>253</v>
      </c>
      <c r="U5" s="199" t="s">
        <v>253</v>
      </c>
      <c r="V5" s="203" t="s">
        <v>253</v>
      </c>
      <c r="W5" s="198" t="s">
        <v>253</v>
      </c>
      <c r="X5" s="199" t="s">
        <v>253</v>
      </c>
      <c r="Y5" s="200" t="s">
        <v>253</v>
      </c>
      <c r="Z5" s="710"/>
      <c r="AA5" s="710"/>
      <c r="AB5" s="710"/>
      <c r="AC5" s="710"/>
      <c r="AD5" s="710"/>
      <c r="AE5" s="710"/>
      <c r="AF5" s="710"/>
      <c r="AG5" s="710"/>
      <c r="AH5" s="710"/>
      <c r="AI5" s="710"/>
      <c r="AJ5" s="710"/>
      <c r="AK5" s="710"/>
      <c r="AL5" s="710"/>
      <c r="AM5" s="710"/>
      <c r="AN5" s="710"/>
    </row>
    <row r="6" spans="1:40" ht="13.15" customHeight="1">
      <c r="A6" s="88">
        <v>4</v>
      </c>
      <c r="B6" s="107" t="s">
        <v>323</v>
      </c>
      <c r="C6" s="89" t="s">
        <v>258</v>
      </c>
      <c r="D6" s="288">
        <v>24000</v>
      </c>
      <c r="E6" s="289">
        <v>15000</v>
      </c>
      <c r="F6" s="290">
        <v>32000</v>
      </c>
      <c r="G6" s="297">
        <v>39000</v>
      </c>
      <c r="H6" s="289">
        <v>62000</v>
      </c>
      <c r="I6" s="290">
        <v>85000</v>
      </c>
      <c r="J6" s="297" t="s">
        <v>898</v>
      </c>
      <c r="K6" s="289" t="s">
        <v>898</v>
      </c>
      <c r="L6" s="289" t="s">
        <v>898</v>
      </c>
      <c r="M6" s="290" t="s">
        <v>898</v>
      </c>
      <c r="N6" s="297">
        <v>300</v>
      </c>
      <c r="O6" s="289">
        <v>1000</v>
      </c>
      <c r="P6" s="289">
        <v>3500</v>
      </c>
      <c r="Q6" s="290">
        <v>4500</v>
      </c>
      <c r="R6" s="297">
        <v>6000</v>
      </c>
      <c r="S6" s="289">
        <v>11000</v>
      </c>
      <c r="T6" s="289">
        <v>16500</v>
      </c>
      <c r="U6" s="289">
        <v>22000</v>
      </c>
      <c r="V6" s="290">
        <v>33000</v>
      </c>
      <c r="W6" s="223" t="s">
        <v>281</v>
      </c>
      <c r="X6" s="221" t="s">
        <v>281</v>
      </c>
      <c r="Y6" s="222" t="s">
        <v>281</v>
      </c>
      <c r="Z6" s="710"/>
      <c r="AA6" s="710"/>
      <c r="AB6" s="710"/>
      <c r="AC6" s="710"/>
      <c r="AD6" s="710"/>
      <c r="AE6" s="710"/>
      <c r="AF6" s="710"/>
      <c r="AG6" s="710"/>
      <c r="AH6" s="710"/>
      <c r="AI6" s="710"/>
      <c r="AJ6" s="710"/>
      <c r="AK6" s="710"/>
      <c r="AL6" s="710"/>
      <c r="AM6" s="710"/>
      <c r="AN6" s="710"/>
    </row>
    <row r="7" spans="1:40" ht="13.15" customHeight="1">
      <c r="A7" s="88">
        <v>5</v>
      </c>
      <c r="B7" s="107" t="s">
        <v>324</v>
      </c>
      <c r="C7" s="89" t="s">
        <v>257</v>
      </c>
      <c r="D7" s="291">
        <v>15000</v>
      </c>
      <c r="E7" s="292">
        <v>9000</v>
      </c>
      <c r="F7" s="293">
        <v>18000</v>
      </c>
      <c r="G7" s="298">
        <v>24000</v>
      </c>
      <c r="H7" s="292">
        <v>31000</v>
      </c>
      <c r="I7" s="293">
        <v>48000</v>
      </c>
      <c r="J7" s="298">
        <v>300</v>
      </c>
      <c r="K7" s="292">
        <v>1100</v>
      </c>
      <c r="L7" s="292">
        <v>3000</v>
      </c>
      <c r="M7" s="293">
        <v>5000</v>
      </c>
      <c r="N7" s="298">
        <v>150</v>
      </c>
      <c r="O7" s="292">
        <v>600</v>
      </c>
      <c r="P7" s="292">
        <v>2000</v>
      </c>
      <c r="Q7" s="293">
        <v>2500</v>
      </c>
      <c r="R7" s="298">
        <v>3500</v>
      </c>
      <c r="S7" s="292">
        <v>6500</v>
      </c>
      <c r="T7" s="292">
        <v>9000</v>
      </c>
      <c r="U7" s="292">
        <v>14000</v>
      </c>
      <c r="V7" s="293">
        <v>20000</v>
      </c>
      <c r="W7" s="226" t="s">
        <v>281</v>
      </c>
      <c r="X7" s="224" t="s">
        <v>281</v>
      </c>
      <c r="Y7" s="225" t="s">
        <v>281</v>
      </c>
      <c r="Z7" s="710"/>
      <c r="AA7" s="710"/>
      <c r="AB7" s="710"/>
      <c r="AC7" s="710"/>
      <c r="AD7" s="710"/>
      <c r="AE7" s="710"/>
      <c r="AF7" s="710"/>
      <c r="AG7" s="710"/>
      <c r="AH7" s="710"/>
      <c r="AI7" s="710"/>
      <c r="AJ7" s="710"/>
      <c r="AK7" s="710"/>
      <c r="AL7" s="710"/>
      <c r="AM7" s="710"/>
      <c r="AN7" s="710"/>
    </row>
    <row r="8" spans="1:40">
      <c r="A8" s="88">
        <v>6</v>
      </c>
      <c r="B8" s="107" t="s">
        <v>316</v>
      </c>
      <c r="C8" s="90" t="s">
        <v>244</v>
      </c>
      <c r="D8" s="291">
        <v>10000</v>
      </c>
      <c r="E8" s="292">
        <v>7000</v>
      </c>
      <c r="F8" s="293">
        <v>14000</v>
      </c>
      <c r="G8" s="298">
        <v>16000</v>
      </c>
      <c r="H8" s="292">
        <v>27000</v>
      </c>
      <c r="I8" s="293">
        <v>37000</v>
      </c>
      <c r="J8" s="298" t="s">
        <v>898</v>
      </c>
      <c r="K8" s="292" t="s">
        <v>898</v>
      </c>
      <c r="L8" s="292" t="s">
        <v>898</v>
      </c>
      <c r="M8" s="293" t="s">
        <v>898</v>
      </c>
      <c r="N8" s="298">
        <v>50</v>
      </c>
      <c r="O8" s="292">
        <v>300</v>
      </c>
      <c r="P8" s="292">
        <v>800</v>
      </c>
      <c r="Q8" s="293">
        <v>1500</v>
      </c>
      <c r="R8" s="298">
        <v>2500</v>
      </c>
      <c r="S8" s="292">
        <v>4000</v>
      </c>
      <c r="T8" s="292">
        <v>6500</v>
      </c>
      <c r="U8" s="292">
        <v>11000</v>
      </c>
      <c r="V8" s="293">
        <v>16000</v>
      </c>
      <c r="W8" s="226" t="s">
        <v>281</v>
      </c>
      <c r="X8" s="224" t="s">
        <v>281</v>
      </c>
      <c r="Y8" s="225" t="s">
        <v>281</v>
      </c>
      <c r="Z8" s="710"/>
      <c r="AA8" s="710"/>
      <c r="AB8" s="710"/>
      <c r="AC8" s="710"/>
      <c r="AD8" s="710"/>
      <c r="AE8" s="710"/>
      <c r="AF8" s="710"/>
      <c r="AG8" s="710"/>
      <c r="AH8" s="710"/>
      <c r="AI8" s="710"/>
      <c r="AJ8" s="710"/>
      <c r="AK8" s="710"/>
      <c r="AL8" s="710"/>
      <c r="AM8" s="710"/>
      <c r="AN8" s="710"/>
    </row>
    <row r="9" spans="1:40" ht="13.5" thickBot="1">
      <c r="A9" s="87">
        <v>7</v>
      </c>
      <c r="B9" s="105" t="s">
        <v>315</v>
      </c>
      <c r="C9" s="91" t="s">
        <v>70</v>
      </c>
      <c r="D9" s="294">
        <v>8000</v>
      </c>
      <c r="E9" s="295">
        <v>5000</v>
      </c>
      <c r="F9" s="296">
        <v>9000</v>
      </c>
      <c r="G9" s="299">
        <v>13000</v>
      </c>
      <c r="H9" s="295">
        <v>19000</v>
      </c>
      <c r="I9" s="296">
        <v>24000</v>
      </c>
      <c r="J9" s="299" t="s">
        <v>898</v>
      </c>
      <c r="K9" s="295" t="s">
        <v>898</v>
      </c>
      <c r="L9" s="295" t="s">
        <v>898</v>
      </c>
      <c r="M9" s="296" t="s">
        <v>898</v>
      </c>
      <c r="N9" s="299" t="s">
        <v>234</v>
      </c>
      <c r="O9" s="295">
        <v>200</v>
      </c>
      <c r="P9" s="295">
        <v>400</v>
      </c>
      <c r="Q9" s="296">
        <v>1000</v>
      </c>
      <c r="R9" s="299">
        <v>2000</v>
      </c>
      <c r="S9" s="295">
        <v>3500</v>
      </c>
      <c r="T9" s="295">
        <v>5500</v>
      </c>
      <c r="U9" s="295">
        <v>9000</v>
      </c>
      <c r="V9" s="296">
        <v>13000</v>
      </c>
      <c r="W9" s="229" t="s">
        <v>281</v>
      </c>
      <c r="X9" s="227" t="s">
        <v>281</v>
      </c>
      <c r="Y9" s="228" t="s">
        <v>281</v>
      </c>
      <c r="Z9" s="710"/>
      <c r="AA9" s="710"/>
      <c r="AB9" s="710"/>
      <c r="AC9" s="710"/>
      <c r="AD9" s="710"/>
      <c r="AE9" s="710"/>
      <c r="AF9" s="710"/>
      <c r="AG9" s="710"/>
      <c r="AH9" s="710"/>
      <c r="AI9" s="710"/>
      <c r="AJ9" s="710"/>
      <c r="AK9" s="710"/>
      <c r="AL9" s="710"/>
      <c r="AM9" s="710"/>
      <c r="AN9" s="710"/>
    </row>
    <row r="10" spans="1:40" ht="13.15" customHeight="1">
      <c r="A10" s="768" t="s">
        <v>245</v>
      </c>
      <c r="B10" s="1075" t="s">
        <v>310</v>
      </c>
      <c r="C10" s="936"/>
      <c r="D10" s="936"/>
      <c r="E10" s="936"/>
      <c r="F10" s="936"/>
      <c r="G10" s="827"/>
      <c r="H10" s="783"/>
      <c r="I10" s="783"/>
      <c r="J10" s="771"/>
      <c r="K10" s="771"/>
      <c r="L10" s="771"/>
      <c r="M10" s="771"/>
      <c r="N10" s="710"/>
      <c r="O10" s="710"/>
      <c r="P10" s="710"/>
      <c r="Q10" s="710"/>
      <c r="R10" s="710"/>
      <c r="S10" s="710"/>
      <c r="T10" s="710"/>
      <c r="U10" s="710"/>
      <c r="V10" s="710"/>
      <c r="W10" s="710"/>
      <c r="X10" s="710"/>
      <c r="Y10" s="710"/>
      <c r="Z10" s="710"/>
      <c r="AA10" s="710"/>
      <c r="AB10" s="710"/>
      <c r="AC10" s="710"/>
      <c r="AD10" s="710"/>
      <c r="AE10" s="710"/>
      <c r="AF10" s="710"/>
      <c r="AG10" s="710"/>
      <c r="AH10" s="710"/>
      <c r="AI10" s="710"/>
      <c r="AJ10" s="710"/>
      <c r="AK10" s="710"/>
      <c r="AL10" s="710"/>
      <c r="AM10" s="710"/>
      <c r="AN10" s="710"/>
    </row>
    <row r="11" spans="1:40">
      <c r="A11" s="710"/>
      <c r="B11" s="827"/>
      <c r="C11" s="827"/>
      <c r="D11" s="827"/>
      <c r="E11" s="827"/>
      <c r="F11" s="827"/>
      <c r="G11" s="827"/>
      <c r="H11" s="712"/>
      <c r="I11" s="712"/>
      <c r="J11" s="710"/>
      <c r="K11" s="710"/>
      <c r="L11" s="710"/>
      <c r="M11" s="710"/>
      <c r="N11" s="710"/>
      <c r="O11" s="710"/>
      <c r="P11" s="710"/>
      <c r="Q11" s="710"/>
      <c r="R11" s="710"/>
      <c r="S11" s="710"/>
      <c r="T11" s="710"/>
      <c r="U11" s="710"/>
      <c r="V11" s="710"/>
      <c r="W11" s="710"/>
      <c r="X11" s="710"/>
      <c r="Y11" s="710"/>
      <c r="Z11" s="710"/>
      <c r="AA11" s="710"/>
      <c r="AB11" s="710"/>
      <c r="AC11" s="710"/>
      <c r="AD11" s="710"/>
      <c r="AE11" s="710"/>
      <c r="AF11" s="710"/>
      <c r="AG11" s="710"/>
      <c r="AH11" s="710"/>
      <c r="AI11" s="710"/>
      <c r="AJ11" s="710"/>
      <c r="AK11" s="710"/>
      <c r="AL11" s="710"/>
      <c r="AM11" s="710"/>
      <c r="AN11" s="710"/>
    </row>
    <row r="12" spans="1:40">
      <c r="A12" s="710"/>
      <c r="B12" s="677" t="s">
        <v>250</v>
      </c>
      <c r="C12" s="712"/>
      <c r="D12" s="712"/>
      <c r="E12" s="712"/>
      <c r="F12" s="712"/>
      <c r="G12" s="712"/>
      <c r="H12" s="712"/>
      <c r="I12" s="712"/>
      <c r="J12" s="710"/>
      <c r="K12" s="710"/>
      <c r="L12" s="710"/>
      <c r="M12" s="710"/>
      <c r="N12" s="710"/>
      <c r="O12" s="710"/>
      <c r="P12" s="710"/>
      <c r="Q12" s="710"/>
      <c r="R12" s="710"/>
      <c r="S12" s="710"/>
      <c r="T12" s="710"/>
      <c r="U12" s="710"/>
      <c r="V12" s="710"/>
      <c r="W12" s="712"/>
      <c r="X12" s="712"/>
      <c r="Y12" s="712"/>
      <c r="Z12" s="710"/>
      <c r="AA12" s="710"/>
      <c r="AB12" s="710"/>
      <c r="AC12" s="710"/>
      <c r="AD12" s="710"/>
      <c r="AE12" s="710"/>
      <c r="AF12" s="710"/>
      <c r="AG12" s="710"/>
      <c r="AH12" s="710"/>
      <c r="AI12" s="710"/>
      <c r="AJ12" s="710"/>
      <c r="AK12" s="710"/>
      <c r="AL12" s="710"/>
      <c r="AM12" s="710"/>
      <c r="AN12" s="710"/>
    </row>
    <row r="13" spans="1:40">
      <c r="A13" s="710"/>
      <c r="B13" s="677" t="s">
        <v>252</v>
      </c>
      <c r="C13" s="712"/>
      <c r="D13" s="712"/>
      <c r="E13" s="712"/>
      <c r="F13" s="712"/>
      <c r="G13" s="712"/>
      <c r="H13" s="712"/>
      <c r="I13" s="712"/>
      <c r="J13" s="710"/>
      <c r="K13" s="710"/>
      <c r="L13" s="710"/>
      <c r="M13" s="710"/>
      <c r="N13" s="710"/>
      <c r="O13" s="710"/>
      <c r="P13" s="710"/>
      <c r="Q13" s="710"/>
      <c r="R13" s="710"/>
      <c r="S13" s="710"/>
      <c r="T13" s="710"/>
      <c r="U13" s="710"/>
      <c r="V13" s="710"/>
      <c r="W13" s="712"/>
      <c r="X13" s="712"/>
      <c r="Y13" s="712"/>
      <c r="Z13" s="710"/>
      <c r="AA13" s="710"/>
      <c r="AB13" s="710"/>
      <c r="AC13" s="710"/>
      <c r="AD13" s="710"/>
      <c r="AE13" s="710"/>
      <c r="AF13" s="710"/>
      <c r="AG13" s="710"/>
      <c r="AH13" s="710"/>
      <c r="AI13" s="710"/>
      <c r="AJ13" s="710"/>
      <c r="AK13" s="710"/>
      <c r="AL13" s="710"/>
      <c r="AM13" s="710"/>
      <c r="AN13" s="710"/>
    </row>
    <row r="14" spans="1:40">
      <c r="A14" s="710"/>
      <c r="B14" s="677" t="s">
        <v>251</v>
      </c>
      <c r="C14" s="712"/>
      <c r="D14" s="712"/>
      <c r="E14" s="712"/>
      <c r="F14" s="712"/>
      <c r="G14" s="712"/>
      <c r="H14" s="712"/>
      <c r="I14" s="712"/>
      <c r="J14" s="710"/>
      <c r="K14" s="710"/>
      <c r="L14" s="710"/>
      <c r="M14" s="710"/>
      <c r="N14" s="710"/>
      <c r="O14" s="710"/>
      <c r="P14" s="710"/>
      <c r="Q14" s="710"/>
      <c r="R14" s="710"/>
      <c r="S14" s="710"/>
      <c r="T14" s="710"/>
      <c r="U14" s="710"/>
      <c r="V14" s="710"/>
      <c r="W14" s="712"/>
      <c r="X14" s="712"/>
      <c r="Y14" s="712"/>
      <c r="Z14" s="710"/>
      <c r="AA14" s="710"/>
      <c r="AB14" s="710"/>
      <c r="AC14" s="710"/>
      <c r="AD14" s="710"/>
      <c r="AE14" s="710"/>
      <c r="AF14" s="710"/>
      <c r="AG14" s="710"/>
      <c r="AH14" s="710"/>
      <c r="AI14" s="710"/>
      <c r="AJ14" s="710"/>
      <c r="AK14" s="710"/>
      <c r="AL14" s="710"/>
      <c r="AM14" s="710"/>
      <c r="AN14" s="710"/>
    </row>
    <row r="15" spans="1:40">
      <c r="A15" s="710"/>
      <c r="B15" s="677" t="s">
        <v>259</v>
      </c>
      <c r="C15" s="712"/>
      <c r="D15" s="712"/>
      <c r="E15" s="712"/>
      <c r="F15" s="712"/>
      <c r="G15" s="712"/>
      <c r="H15" s="712"/>
      <c r="I15" s="712"/>
      <c r="J15" s="710"/>
      <c r="K15" s="710"/>
      <c r="L15" s="710"/>
      <c r="M15" s="710"/>
      <c r="N15" s="710"/>
      <c r="O15" s="710"/>
      <c r="P15" s="710"/>
      <c r="Q15" s="710"/>
      <c r="R15" s="710"/>
      <c r="S15" s="710"/>
      <c r="T15" s="710"/>
      <c r="U15" s="710"/>
      <c r="V15" s="710"/>
      <c r="W15" s="712"/>
      <c r="X15" s="712"/>
      <c r="Y15" s="712"/>
      <c r="Z15" s="710"/>
      <c r="AA15" s="710"/>
      <c r="AB15" s="710"/>
      <c r="AC15" s="710"/>
      <c r="AD15" s="710"/>
      <c r="AE15" s="710"/>
      <c r="AF15" s="710"/>
      <c r="AG15" s="710"/>
      <c r="AH15" s="710"/>
      <c r="AI15" s="710"/>
      <c r="AJ15" s="710"/>
      <c r="AK15" s="710"/>
      <c r="AL15" s="710"/>
      <c r="AM15" s="710"/>
      <c r="AN15" s="710"/>
    </row>
    <row r="16" spans="1:40">
      <c r="A16" s="782"/>
      <c r="B16" s="828" t="s">
        <v>263</v>
      </c>
      <c r="C16" s="827"/>
      <c r="D16" s="827"/>
      <c r="E16" s="827"/>
      <c r="F16" s="827"/>
      <c r="G16" s="827"/>
      <c r="H16" s="712"/>
      <c r="I16" s="712"/>
      <c r="J16" s="710"/>
      <c r="K16" s="710"/>
      <c r="L16" s="710"/>
      <c r="M16" s="710"/>
      <c r="N16" s="710"/>
      <c r="O16" s="710"/>
      <c r="P16" s="710"/>
      <c r="Q16" s="710"/>
      <c r="R16" s="710"/>
      <c r="S16" s="710"/>
      <c r="T16" s="710"/>
      <c r="U16" s="710"/>
      <c r="V16" s="710"/>
      <c r="W16" s="710"/>
      <c r="X16" s="710"/>
      <c r="Y16" s="710"/>
      <c r="Z16" s="710"/>
      <c r="AA16" s="710"/>
      <c r="AB16" s="710"/>
      <c r="AC16" s="710"/>
      <c r="AD16" s="710"/>
      <c r="AE16" s="710"/>
      <c r="AF16" s="710"/>
      <c r="AG16" s="710"/>
      <c r="AH16" s="710"/>
      <c r="AI16" s="710"/>
      <c r="AJ16" s="710"/>
      <c r="AK16" s="710"/>
      <c r="AL16" s="710"/>
      <c r="AM16" s="710"/>
      <c r="AN16" s="710"/>
    </row>
    <row r="17" spans="1:40">
      <c r="A17" s="782"/>
      <c r="B17" s="827"/>
      <c r="C17" s="827"/>
      <c r="D17" s="827"/>
      <c r="E17" s="827"/>
      <c r="F17" s="827"/>
      <c r="G17" s="827"/>
      <c r="H17" s="782"/>
      <c r="I17" s="712"/>
      <c r="J17" s="710"/>
      <c r="K17" s="710"/>
      <c r="L17" s="710"/>
      <c r="M17" s="710"/>
      <c r="N17" s="710"/>
      <c r="O17" s="710"/>
      <c r="P17" s="710"/>
      <c r="Q17" s="710"/>
      <c r="R17" s="710"/>
      <c r="S17" s="710"/>
      <c r="T17" s="710"/>
      <c r="U17" s="710"/>
      <c r="V17" s="710"/>
      <c r="W17" s="710"/>
      <c r="X17" s="710"/>
      <c r="Y17" s="710"/>
      <c r="Z17" s="710"/>
      <c r="AA17" s="710"/>
      <c r="AB17" s="710"/>
      <c r="AC17" s="710"/>
      <c r="AD17" s="710"/>
      <c r="AE17" s="710"/>
      <c r="AF17" s="710"/>
      <c r="AG17" s="710"/>
      <c r="AH17" s="710"/>
      <c r="AI17" s="710"/>
      <c r="AJ17" s="710"/>
      <c r="AK17" s="710"/>
      <c r="AL17" s="710"/>
      <c r="AM17" s="710"/>
      <c r="AN17" s="710"/>
    </row>
    <row r="18" spans="1:40" ht="13.15" customHeight="1">
      <c r="A18" s="782"/>
      <c r="B18" s="827"/>
      <c r="C18" s="827"/>
      <c r="D18" s="827"/>
      <c r="E18" s="827"/>
      <c r="F18" s="827"/>
      <c r="G18" s="827"/>
      <c r="H18" s="782"/>
      <c r="I18" s="712"/>
      <c r="J18" s="710"/>
      <c r="K18" s="710"/>
      <c r="L18" s="710"/>
      <c r="M18" s="710"/>
      <c r="N18" s="710"/>
      <c r="O18" s="710"/>
      <c r="P18" s="677"/>
      <c r="Q18" s="710"/>
      <c r="R18" s="710"/>
      <c r="S18" s="710"/>
      <c r="T18" s="710"/>
      <c r="U18" s="677"/>
      <c r="V18" s="710"/>
      <c r="W18" s="710"/>
      <c r="X18" s="710"/>
      <c r="Y18" s="710"/>
      <c r="Z18" s="710"/>
      <c r="AA18" s="710"/>
      <c r="AB18" s="710"/>
      <c r="AC18" s="710"/>
      <c r="AD18" s="710"/>
      <c r="AE18" s="710"/>
      <c r="AF18" s="710"/>
      <c r="AG18" s="710"/>
      <c r="AH18" s="710"/>
      <c r="AI18" s="710"/>
      <c r="AJ18" s="710"/>
      <c r="AK18" s="710"/>
      <c r="AL18" s="710"/>
      <c r="AM18" s="710"/>
      <c r="AN18" s="710"/>
    </row>
    <row r="19" spans="1:40">
      <c r="A19" s="782"/>
      <c r="B19" s="1075" t="s">
        <v>283</v>
      </c>
      <c r="C19" s="827"/>
      <c r="D19" s="827"/>
      <c r="E19" s="827"/>
      <c r="F19" s="827"/>
      <c r="G19" s="827"/>
      <c r="H19" s="782"/>
      <c r="I19" s="712"/>
      <c r="J19" s="710"/>
      <c r="K19" s="710"/>
      <c r="L19" s="710"/>
      <c r="M19" s="710"/>
      <c r="N19" s="710"/>
      <c r="O19" s="710"/>
      <c r="P19" s="710"/>
      <c r="Q19" s="710"/>
      <c r="R19" s="710"/>
      <c r="S19" s="710"/>
      <c r="T19" s="710"/>
      <c r="U19" s="710"/>
      <c r="V19" s="710"/>
      <c r="W19" s="710"/>
      <c r="X19" s="710"/>
      <c r="Y19" s="710"/>
      <c r="Z19" s="710"/>
      <c r="AA19" s="710"/>
      <c r="AB19" s="710"/>
      <c r="AC19" s="710"/>
      <c r="AD19" s="710"/>
      <c r="AE19" s="710"/>
      <c r="AF19" s="710"/>
      <c r="AG19" s="710"/>
      <c r="AH19" s="710"/>
      <c r="AI19" s="710"/>
      <c r="AJ19" s="710"/>
      <c r="AK19" s="710"/>
      <c r="AL19" s="710"/>
      <c r="AM19" s="710"/>
      <c r="AN19" s="710"/>
    </row>
    <row r="20" spans="1:40">
      <c r="A20" s="782"/>
      <c r="B20" s="827"/>
      <c r="C20" s="827"/>
      <c r="D20" s="827"/>
      <c r="E20" s="827"/>
      <c r="F20" s="827"/>
      <c r="G20" s="827"/>
      <c r="H20" s="782"/>
      <c r="I20" s="712"/>
      <c r="J20" s="710"/>
      <c r="K20" s="710"/>
      <c r="L20" s="710"/>
      <c r="M20" s="710"/>
      <c r="N20" s="710"/>
      <c r="O20" s="710"/>
      <c r="P20" s="710"/>
      <c r="Q20" s="710"/>
      <c r="R20" s="710"/>
      <c r="S20" s="710"/>
      <c r="T20" s="710"/>
      <c r="U20" s="710"/>
      <c r="V20" s="710"/>
      <c r="W20" s="710"/>
      <c r="X20" s="710"/>
      <c r="Y20" s="710"/>
      <c r="Z20" s="710"/>
      <c r="AA20" s="710"/>
      <c r="AB20" s="710"/>
      <c r="AC20" s="710"/>
      <c r="AD20" s="710"/>
      <c r="AE20" s="710"/>
      <c r="AF20" s="710"/>
      <c r="AG20" s="710"/>
      <c r="AH20" s="710"/>
      <c r="AI20" s="710"/>
      <c r="AJ20" s="710"/>
      <c r="AK20" s="710"/>
      <c r="AL20" s="710"/>
      <c r="AM20" s="710"/>
      <c r="AN20" s="710"/>
    </row>
    <row r="21" spans="1:40">
      <c r="A21" s="782"/>
      <c r="B21" s="827"/>
      <c r="C21" s="827"/>
      <c r="D21" s="827"/>
      <c r="E21" s="827"/>
      <c r="F21" s="827"/>
      <c r="G21" s="827"/>
      <c r="H21" s="782"/>
      <c r="I21" s="712"/>
      <c r="J21" s="710"/>
      <c r="K21" s="710"/>
      <c r="L21" s="710"/>
      <c r="M21" s="710"/>
      <c r="N21" s="710"/>
      <c r="O21" s="710"/>
      <c r="P21" s="710"/>
      <c r="Q21" s="710"/>
      <c r="R21" s="710"/>
      <c r="S21" s="710"/>
      <c r="T21" s="710"/>
      <c r="U21" s="710"/>
      <c r="V21" s="710"/>
      <c r="W21" s="710"/>
      <c r="X21" s="710"/>
      <c r="Y21" s="710"/>
      <c r="Z21" s="710"/>
      <c r="AA21" s="710"/>
      <c r="AB21" s="710"/>
      <c r="AC21" s="710"/>
      <c r="AD21" s="710"/>
      <c r="AE21" s="710"/>
      <c r="AF21" s="710"/>
      <c r="AG21" s="710"/>
      <c r="AH21" s="710"/>
      <c r="AI21" s="710"/>
      <c r="AJ21" s="710"/>
      <c r="AK21" s="710"/>
      <c r="AL21" s="710"/>
      <c r="AM21" s="710"/>
      <c r="AN21" s="710"/>
    </row>
    <row r="22" spans="1:40">
      <c r="A22" s="782"/>
      <c r="B22" s="710"/>
      <c r="C22" s="712"/>
      <c r="D22" s="712"/>
      <c r="E22" s="712"/>
      <c r="F22" s="712"/>
      <c r="G22" s="782"/>
      <c r="H22" s="782"/>
      <c r="I22" s="712"/>
      <c r="J22" s="710"/>
      <c r="K22" s="710"/>
      <c r="L22" s="710"/>
      <c r="M22" s="710"/>
      <c r="N22" s="710"/>
      <c r="O22" s="710"/>
      <c r="P22" s="710"/>
      <c r="Q22" s="710"/>
      <c r="R22" s="710"/>
      <c r="S22" s="710"/>
      <c r="T22" s="710"/>
      <c r="U22" s="710"/>
      <c r="V22" s="710"/>
      <c r="W22" s="712"/>
      <c r="X22" s="712"/>
      <c r="Y22" s="712"/>
      <c r="Z22" s="710"/>
      <c r="AA22" s="710"/>
      <c r="AB22" s="710"/>
      <c r="AC22" s="710"/>
      <c r="AD22" s="710"/>
      <c r="AE22" s="710"/>
      <c r="AF22" s="710"/>
      <c r="AG22" s="710"/>
      <c r="AH22" s="710"/>
      <c r="AI22" s="710"/>
      <c r="AJ22" s="710"/>
      <c r="AK22" s="710"/>
      <c r="AL22" s="710"/>
      <c r="AM22" s="710"/>
      <c r="AN22" s="710"/>
    </row>
    <row r="23" spans="1:40">
      <c r="A23" s="710"/>
      <c r="B23" s="710"/>
      <c r="C23" s="712"/>
      <c r="D23" s="782"/>
      <c r="E23" s="782"/>
      <c r="F23" s="712"/>
      <c r="G23" s="710"/>
      <c r="H23" s="710"/>
      <c r="I23" s="710"/>
      <c r="J23" s="710"/>
      <c r="K23" s="710"/>
      <c r="L23" s="710"/>
      <c r="M23" s="710"/>
      <c r="N23" s="710"/>
      <c r="O23" s="710"/>
      <c r="P23" s="710"/>
      <c r="Q23" s="710"/>
      <c r="R23" s="710"/>
      <c r="S23" s="710"/>
      <c r="T23" s="712"/>
      <c r="U23" s="712"/>
      <c r="V23" s="712"/>
      <c r="W23" s="710"/>
      <c r="X23" s="710"/>
      <c r="Y23" s="710"/>
      <c r="Z23" s="710"/>
      <c r="AA23" s="710"/>
      <c r="AB23" s="710"/>
      <c r="AC23" s="710"/>
      <c r="AD23" s="710"/>
      <c r="AE23" s="710"/>
      <c r="AF23" s="710"/>
      <c r="AG23" s="710"/>
      <c r="AH23" s="710"/>
      <c r="AI23" s="710"/>
      <c r="AJ23" s="710"/>
      <c r="AK23" s="710"/>
      <c r="AL23" s="710"/>
      <c r="AM23" s="710"/>
      <c r="AN23" s="710"/>
    </row>
    <row r="24" spans="1:40">
      <c r="A24" s="724" t="s">
        <v>856</v>
      </c>
      <c r="B24" s="710"/>
      <c r="C24" s="712"/>
      <c r="D24" s="712"/>
      <c r="E24" s="712"/>
      <c r="F24" s="712"/>
      <c r="G24" s="710"/>
      <c r="H24" s="710"/>
      <c r="I24" s="710"/>
      <c r="J24" s="710"/>
      <c r="K24" s="710"/>
      <c r="L24" s="710"/>
      <c r="M24" s="710"/>
      <c r="N24" s="710"/>
      <c r="O24" s="710"/>
      <c r="P24" s="710"/>
      <c r="Q24" s="710"/>
      <c r="R24" s="710"/>
      <c r="S24" s="710"/>
      <c r="T24" s="712"/>
      <c r="U24" s="712"/>
      <c r="V24" s="712"/>
      <c r="W24" s="710"/>
      <c r="X24" s="710"/>
      <c r="Y24" s="710"/>
      <c r="Z24" s="710"/>
      <c r="AA24" s="710"/>
      <c r="AB24" s="710"/>
      <c r="AC24" s="710"/>
      <c r="AD24" s="710"/>
      <c r="AE24" s="710"/>
      <c r="AF24" s="710"/>
      <c r="AG24" s="710"/>
      <c r="AH24" s="710"/>
      <c r="AI24" s="710"/>
      <c r="AJ24" s="710"/>
      <c r="AK24" s="710"/>
      <c r="AL24" s="710"/>
      <c r="AM24" s="710"/>
      <c r="AN24" s="710"/>
    </row>
    <row r="25" spans="1:40">
      <c r="A25" s="188" t="s">
        <v>855</v>
      </c>
      <c r="B25" s="192" t="s">
        <v>194</v>
      </c>
      <c r="C25" s="712"/>
      <c r="D25" s="712"/>
      <c r="E25" s="712"/>
      <c r="F25" s="712"/>
      <c r="G25" s="710"/>
      <c r="H25" s="710"/>
      <c r="I25" s="710"/>
      <c r="J25" s="710"/>
      <c r="K25" s="710"/>
      <c r="L25" s="710"/>
      <c r="M25" s="710"/>
      <c r="N25" s="710"/>
      <c r="O25" s="710"/>
      <c r="P25" s="710"/>
      <c r="Q25" s="710"/>
      <c r="R25" s="710"/>
      <c r="S25" s="710"/>
      <c r="T25" s="712"/>
      <c r="U25" s="712"/>
      <c r="V25" s="712"/>
      <c r="W25" s="710"/>
      <c r="X25" s="710"/>
      <c r="Y25" s="710"/>
      <c r="Z25" s="710"/>
      <c r="AA25" s="710"/>
      <c r="AB25" s="710"/>
      <c r="AC25" s="710"/>
      <c r="AD25" s="710"/>
      <c r="AE25" s="710"/>
      <c r="AF25" s="710"/>
      <c r="AG25" s="710"/>
      <c r="AH25" s="710"/>
      <c r="AI25" s="710"/>
      <c r="AJ25" s="710"/>
      <c r="AK25" s="710"/>
      <c r="AL25" s="710"/>
      <c r="AM25" s="710"/>
      <c r="AN25" s="710"/>
    </row>
    <row r="26" spans="1:40">
      <c r="A26" s="82" t="s">
        <v>891</v>
      </c>
      <c r="B26" s="83" t="s">
        <v>852</v>
      </c>
      <c r="C26" s="712"/>
      <c r="D26" s="712"/>
      <c r="E26" s="712"/>
      <c r="F26" s="712"/>
      <c r="G26" s="710"/>
      <c r="H26" s="710"/>
      <c r="I26" s="710"/>
      <c r="J26" s="710"/>
      <c r="K26" s="710"/>
      <c r="L26" s="710"/>
      <c r="M26" s="710"/>
      <c r="N26" s="710"/>
      <c r="O26" s="710"/>
      <c r="P26" s="710"/>
      <c r="Q26" s="710"/>
      <c r="R26" s="710"/>
      <c r="S26" s="710"/>
      <c r="T26" s="712"/>
      <c r="U26" s="712"/>
      <c r="V26" s="712"/>
      <c r="W26" s="710"/>
      <c r="X26" s="710"/>
      <c r="Y26" s="710"/>
      <c r="Z26" s="710"/>
      <c r="AA26" s="710"/>
      <c r="AB26" s="710"/>
      <c r="AC26" s="710"/>
      <c r="AD26" s="710"/>
      <c r="AE26" s="710"/>
      <c r="AF26" s="710"/>
      <c r="AG26" s="710"/>
      <c r="AH26" s="710"/>
      <c r="AI26" s="710"/>
      <c r="AJ26" s="710"/>
      <c r="AK26" s="710"/>
      <c r="AL26" s="710"/>
      <c r="AM26" s="710"/>
      <c r="AN26" s="710"/>
    </row>
    <row r="27" spans="1:40">
      <c r="A27" s="1080" t="s">
        <v>890</v>
      </c>
      <c r="B27" s="1082" t="s">
        <v>853</v>
      </c>
      <c r="C27" s="712"/>
      <c r="D27" s="712"/>
      <c r="E27" s="712"/>
      <c r="F27" s="712"/>
      <c r="G27" s="710"/>
      <c r="H27" s="710"/>
      <c r="I27" s="710"/>
      <c r="J27" s="710"/>
      <c r="K27" s="710"/>
      <c r="L27" s="710"/>
      <c r="M27" s="710"/>
      <c r="N27" s="710"/>
      <c r="O27" s="710"/>
      <c r="P27" s="710"/>
      <c r="Q27" s="710"/>
      <c r="R27" s="710"/>
      <c r="S27" s="710"/>
      <c r="T27" s="712"/>
      <c r="U27" s="712"/>
      <c r="V27" s="712"/>
      <c r="W27" s="710"/>
      <c r="X27" s="710"/>
      <c r="Y27" s="710"/>
      <c r="Z27" s="710"/>
      <c r="AA27" s="710"/>
      <c r="AB27" s="710"/>
      <c r="AC27" s="710"/>
      <c r="AD27" s="710"/>
      <c r="AE27" s="710"/>
      <c r="AF27" s="710"/>
      <c r="AG27" s="710"/>
      <c r="AH27" s="710"/>
      <c r="AI27" s="710"/>
      <c r="AJ27" s="710"/>
      <c r="AK27" s="710"/>
      <c r="AL27" s="710"/>
      <c r="AM27" s="710"/>
      <c r="AN27" s="710"/>
    </row>
    <row r="28" spans="1:40">
      <c r="A28" s="1081"/>
      <c r="B28" s="1083"/>
      <c r="C28" s="712"/>
      <c r="D28" s="712"/>
      <c r="E28" s="712"/>
      <c r="F28" s="712"/>
      <c r="G28" s="710"/>
      <c r="H28" s="710"/>
      <c r="I28" s="710"/>
      <c r="J28" s="710"/>
      <c r="K28" s="710"/>
      <c r="L28" s="710"/>
      <c r="M28" s="710"/>
      <c r="N28" s="710"/>
      <c r="O28" s="710"/>
      <c r="P28" s="710"/>
      <c r="Q28" s="710"/>
      <c r="R28" s="710"/>
      <c r="S28" s="710"/>
      <c r="T28" s="712"/>
      <c r="U28" s="712"/>
      <c r="V28" s="712"/>
      <c r="W28" s="710"/>
      <c r="X28" s="710"/>
      <c r="Y28" s="710"/>
      <c r="Z28" s="710"/>
      <c r="AA28" s="710"/>
      <c r="AB28" s="710"/>
      <c r="AC28" s="710"/>
      <c r="AD28" s="710"/>
      <c r="AE28" s="710"/>
      <c r="AF28" s="710"/>
      <c r="AG28" s="710"/>
      <c r="AH28" s="710"/>
      <c r="AI28" s="710"/>
      <c r="AJ28" s="710"/>
      <c r="AK28" s="710"/>
      <c r="AL28" s="710"/>
      <c r="AM28" s="710"/>
      <c r="AN28" s="710"/>
    </row>
    <row r="29" spans="1:40">
      <c r="A29" s="1080" t="s">
        <v>975</v>
      </c>
      <c r="B29" s="1087" t="s">
        <v>854</v>
      </c>
      <c r="C29" s="712"/>
      <c r="D29" s="712"/>
      <c r="E29" s="712"/>
      <c r="F29" s="712"/>
      <c r="G29" s="710"/>
      <c r="H29" s="710"/>
      <c r="I29" s="710"/>
      <c r="J29" s="710"/>
      <c r="K29" s="710"/>
      <c r="L29" s="710"/>
      <c r="M29" s="710"/>
      <c r="N29" s="710"/>
      <c r="O29" s="710"/>
      <c r="P29" s="710"/>
      <c r="Q29" s="710"/>
      <c r="R29" s="710"/>
      <c r="S29" s="710"/>
      <c r="T29" s="712"/>
      <c r="U29" s="712"/>
      <c r="V29" s="712"/>
      <c r="W29" s="710"/>
      <c r="X29" s="710"/>
      <c r="Y29" s="710"/>
      <c r="Z29" s="710"/>
      <c r="AA29" s="710"/>
      <c r="AB29" s="710"/>
      <c r="AC29" s="710"/>
      <c r="AD29" s="710"/>
      <c r="AE29" s="710"/>
      <c r="AF29" s="710"/>
      <c r="AG29" s="710"/>
      <c r="AH29" s="710"/>
      <c r="AI29" s="710"/>
      <c r="AJ29" s="710"/>
      <c r="AK29" s="710"/>
      <c r="AL29" s="710"/>
      <c r="AM29" s="710"/>
      <c r="AN29" s="710"/>
    </row>
    <row r="30" spans="1:40">
      <c r="A30" s="1089"/>
      <c r="B30" s="1088"/>
      <c r="C30" s="712"/>
      <c r="D30" s="712"/>
      <c r="E30" s="712"/>
      <c r="F30" s="712"/>
      <c r="G30" s="710"/>
      <c r="H30" s="710"/>
      <c r="I30" s="710"/>
      <c r="J30" s="710"/>
      <c r="K30" s="710"/>
      <c r="L30" s="710"/>
      <c r="M30" s="710"/>
      <c r="N30" s="710"/>
      <c r="O30" s="710"/>
      <c r="P30" s="710"/>
      <c r="Q30" s="710"/>
      <c r="R30" s="710"/>
      <c r="S30" s="710"/>
      <c r="T30" s="712"/>
      <c r="U30" s="712"/>
      <c r="V30" s="712"/>
      <c r="W30" s="710"/>
      <c r="X30" s="710"/>
      <c r="Y30" s="710"/>
      <c r="Z30" s="710"/>
      <c r="AA30" s="710"/>
      <c r="AB30" s="710"/>
      <c r="AC30" s="710"/>
      <c r="AD30" s="710"/>
      <c r="AE30" s="710"/>
      <c r="AF30" s="710"/>
      <c r="AG30" s="710"/>
      <c r="AH30" s="710"/>
      <c r="AI30" s="710"/>
      <c r="AJ30" s="710"/>
      <c r="AK30" s="710"/>
      <c r="AL30" s="710"/>
      <c r="AM30" s="710"/>
      <c r="AN30" s="710"/>
    </row>
    <row r="31" spans="1:40">
      <c r="A31" s="1080" t="s">
        <v>889</v>
      </c>
      <c r="B31" s="1087" t="s">
        <v>888</v>
      </c>
      <c r="C31" s="712"/>
      <c r="D31" s="712"/>
      <c r="E31" s="712"/>
      <c r="F31" s="712"/>
      <c r="G31" s="710"/>
      <c r="H31" s="710"/>
      <c r="I31" s="710"/>
      <c r="J31" s="710"/>
      <c r="K31" s="710"/>
      <c r="L31" s="710"/>
      <c r="M31" s="710"/>
      <c r="N31" s="710"/>
      <c r="O31" s="710"/>
      <c r="P31" s="710"/>
      <c r="Q31" s="710"/>
      <c r="R31" s="710"/>
      <c r="S31" s="710"/>
      <c r="T31" s="712"/>
      <c r="U31" s="712"/>
      <c r="V31" s="712"/>
      <c r="W31" s="710"/>
      <c r="X31" s="710"/>
      <c r="Y31" s="710"/>
      <c r="Z31" s="710"/>
      <c r="AA31" s="710"/>
      <c r="AB31" s="710"/>
      <c r="AC31" s="710"/>
      <c r="AD31" s="710"/>
      <c r="AE31" s="710"/>
      <c r="AF31" s="710"/>
      <c r="AG31" s="710"/>
      <c r="AH31" s="710"/>
      <c r="AI31" s="710"/>
      <c r="AJ31" s="710"/>
      <c r="AK31" s="710"/>
      <c r="AL31" s="710"/>
      <c r="AM31" s="710"/>
      <c r="AN31" s="710"/>
    </row>
    <row r="32" spans="1:40">
      <c r="A32" s="1086"/>
      <c r="B32" s="1088"/>
      <c r="C32" s="712"/>
      <c r="D32" s="712"/>
      <c r="E32" s="712"/>
      <c r="F32" s="712"/>
      <c r="G32" s="710"/>
      <c r="H32" s="710"/>
      <c r="I32" s="710"/>
      <c r="J32" s="710"/>
      <c r="K32" s="710"/>
      <c r="L32" s="710"/>
      <c r="M32" s="710"/>
      <c r="N32" s="710"/>
      <c r="O32" s="710"/>
      <c r="P32" s="710"/>
      <c r="Q32" s="710"/>
      <c r="R32" s="710"/>
      <c r="S32" s="710"/>
      <c r="T32" s="712"/>
      <c r="U32" s="712"/>
      <c r="V32" s="712"/>
      <c r="W32" s="710"/>
      <c r="X32" s="710"/>
      <c r="Y32" s="710"/>
      <c r="Z32" s="710"/>
      <c r="AA32" s="710"/>
      <c r="AB32" s="710"/>
      <c r="AC32" s="710"/>
      <c r="AD32" s="710"/>
      <c r="AE32" s="710"/>
      <c r="AF32" s="710"/>
      <c r="AG32" s="710"/>
      <c r="AH32" s="710"/>
      <c r="AI32" s="710"/>
      <c r="AJ32" s="710"/>
      <c r="AK32" s="710"/>
      <c r="AL32" s="710"/>
      <c r="AM32" s="710"/>
      <c r="AN32" s="710"/>
    </row>
    <row r="33" spans="1:40">
      <c r="A33" s="710"/>
      <c r="B33" s="710"/>
      <c r="C33" s="712"/>
      <c r="D33" s="712"/>
      <c r="E33" s="712"/>
      <c r="F33" s="712"/>
      <c r="G33" s="710"/>
      <c r="H33" s="710"/>
      <c r="I33" s="710"/>
      <c r="J33" s="710"/>
      <c r="K33" s="710"/>
      <c r="L33" s="710"/>
      <c r="M33" s="710"/>
      <c r="N33" s="710"/>
      <c r="O33" s="710"/>
      <c r="P33" s="710"/>
      <c r="Q33" s="710"/>
      <c r="R33" s="710"/>
      <c r="S33" s="710"/>
      <c r="T33" s="712"/>
      <c r="U33" s="712"/>
      <c r="V33" s="712"/>
      <c r="W33" s="710"/>
      <c r="X33" s="710"/>
      <c r="Y33" s="710"/>
      <c r="Z33" s="710"/>
      <c r="AA33" s="710"/>
      <c r="AB33" s="710"/>
      <c r="AC33" s="710"/>
      <c r="AD33" s="710"/>
      <c r="AE33" s="710"/>
      <c r="AF33" s="710"/>
      <c r="AG33" s="710"/>
      <c r="AH33" s="710"/>
      <c r="AI33" s="710"/>
      <c r="AJ33" s="710"/>
      <c r="AK33" s="710"/>
      <c r="AL33" s="710"/>
      <c r="AM33" s="710"/>
      <c r="AN33" s="710"/>
    </row>
    <row r="34" spans="1:40">
      <c r="A34" s="828" t="s">
        <v>851</v>
      </c>
      <c r="B34" s="827"/>
      <c r="C34" s="712"/>
      <c r="D34" s="712"/>
      <c r="E34" s="712"/>
      <c r="F34" s="712"/>
      <c r="G34" s="712"/>
      <c r="H34" s="712"/>
      <c r="I34" s="712"/>
      <c r="J34" s="710"/>
      <c r="K34" s="710"/>
      <c r="L34" s="710"/>
      <c r="M34" s="710"/>
      <c r="N34" s="710"/>
      <c r="O34" s="710"/>
      <c r="P34" s="710"/>
      <c r="Q34" s="710"/>
      <c r="R34" s="710"/>
      <c r="S34" s="710"/>
      <c r="T34" s="710"/>
      <c r="U34" s="710"/>
      <c r="V34" s="710"/>
      <c r="W34" s="712"/>
      <c r="X34" s="712"/>
      <c r="Y34" s="712"/>
      <c r="Z34" s="710"/>
      <c r="AA34" s="710"/>
      <c r="AB34" s="710"/>
      <c r="AC34" s="710"/>
      <c r="AD34" s="710"/>
      <c r="AE34" s="710"/>
      <c r="AF34" s="710"/>
      <c r="AG34" s="710"/>
      <c r="AH34" s="710"/>
      <c r="AI34" s="710"/>
      <c r="AJ34" s="710"/>
      <c r="AK34" s="710"/>
      <c r="AL34" s="710"/>
      <c r="AM34" s="710"/>
      <c r="AN34" s="710"/>
    </row>
    <row r="35" spans="1:40">
      <c r="A35" s="827"/>
      <c r="B35" s="827"/>
      <c r="C35" s="712"/>
      <c r="D35" s="712"/>
      <c r="E35" s="712"/>
      <c r="F35" s="712"/>
      <c r="G35" s="712"/>
      <c r="H35" s="712"/>
      <c r="I35" s="712"/>
      <c r="J35" s="710"/>
      <c r="K35" s="710"/>
      <c r="L35" s="710"/>
      <c r="M35" s="710"/>
      <c r="N35" s="710"/>
      <c r="O35" s="710"/>
      <c r="P35" s="710"/>
      <c r="Q35" s="710"/>
      <c r="R35" s="710"/>
      <c r="S35" s="710"/>
      <c r="T35" s="710"/>
      <c r="U35" s="710"/>
      <c r="V35" s="710"/>
      <c r="W35" s="712"/>
      <c r="X35" s="712"/>
      <c r="Y35" s="712"/>
      <c r="Z35" s="710"/>
      <c r="AA35" s="710"/>
      <c r="AB35" s="710"/>
      <c r="AC35" s="710"/>
      <c r="AD35" s="710"/>
      <c r="AE35" s="710"/>
      <c r="AF35" s="710"/>
      <c r="AG35" s="710"/>
      <c r="AH35" s="710"/>
      <c r="AI35" s="710"/>
      <c r="AJ35" s="710"/>
      <c r="AK35" s="710"/>
      <c r="AL35" s="710"/>
      <c r="AM35" s="710"/>
      <c r="AN35" s="710"/>
    </row>
    <row r="36" spans="1:40">
      <c r="A36" s="828" t="s">
        <v>846</v>
      </c>
      <c r="B36" s="827"/>
      <c r="C36" s="712"/>
      <c r="D36" s="712"/>
      <c r="E36" s="712"/>
      <c r="F36" s="712"/>
      <c r="G36" s="712"/>
      <c r="H36" s="712"/>
      <c r="I36" s="712"/>
      <c r="J36" s="710"/>
      <c r="K36" s="710"/>
      <c r="L36" s="710"/>
      <c r="M36" s="710"/>
      <c r="N36" s="710"/>
      <c r="O36" s="710"/>
      <c r="P36" s="710"/>
      <c r="Q36" s="710"/>
      <c r="R36" s="710"/>
      <c r="S36" s="710"/>
      <c r="T36" s="710"/>
      <c r="U36" s="710"/>
      <c r="V36" s="710"/>
      <c r="W36" s="712"/>
      <c r="X36" s="712"/>
      <c r="Y36" s="712"/>
      <c r="Z36" s="710"/>
      <c r="AA36" s="710"/>
      <c r="AB36" s="710"/>
      <c r="AC36" s="710"/>
      <c r="AD36" s="710"/>
      <c r="AE36" s="710"/>
      <c r="AF36" s="710"/>
      <c r="AG36" s="710"/>
      <c r="AH36" s="710"/>
      <c r="AI36" s="710"/>
      <c r="AJ36" s="710"/>
      <c r="AK36" s="710"/>
      <c r="AL36" s="710"/>
      <c r="AM36" s="710"/>
      <c r="AN36" s="710"/>
    </row>
    <row r="37" spans="1:40">
      <c r="A37" s="827"/>
      <c r="B37" s="827"/>
      <c r="C37" s="712"/>
      <c r="D37" s="712"/>
      <c r="E37" s="712"/>
      <c r="F37" s="712"/>
      <c r="G37" s="712"/>
      <c r="H37" s="712"/>
      <c r="I37" s="712"/>
      <c r="J37" s="710"/>
      <c r="K37" s="710"/>
      <c r="L37" s="710"/>
      <c r="M37" s="710"/>
      <c r="N37" s="710"/>
      <c r="O37" s="710"/>
      <c r="P37" s="710"/>
      <c r="Q37" s="710"/>
      <c r="R37" s="710"/>
      <c r="S37" s="710"/>
      <c r="T37" s="710"/>
      <c r="U37" s="710"/>
      <c r="V37" s="710"/>
      <c r="W37" s="712"/>
      <c r="X37" s="712"/>
      <c r="Y37" s="712"/>
      <c r="Z37" s="710"/>
      <c r="AA37" s="710"/>
      <c r="AB37" s="710"/>
      <c r="AC37" s="710"/>
      <c r="AD37" s="710"/>
      <c r="AE37" s="710"/>
      <c r="AF37" s="710"/>
      <c r="AG37" s="710"/>
      <c r="AH37" s="710"/>
      <c r="AI37" s="710"/>
      <c r="AJ37" s="710"/>
      <c r="AK37" s="710"/>
      <c r="AL37" s="710"/>
      <c r="AM37" s="710"/>
      <c r="AN37" s="710"/>
    </row>
    <row r="38" spans="1:40">
      <c r="A38" s="828" t="s">
        <v>847</v>
      </c>
      <c r="B38" s="827"/>
      <c r="C38" s="712"/>
      <c r="D38" s="712"/>
      <c r="E38" s="712"/>
      <c r="F38" s="712"/>
      <c r="G38" s="712"/>
      <c r="H38" s="712"/>
      <c r="I38" s="712"/>
      <c r="J38" s="710"/>
      <c r="K38" s="710"/>
      <c r="L38" s="710"/>
      <c r="M38" s="710"/>
      <c r="N38" s="710"/>
      <c r="O38" s="710"/>
      <c r="P38" s="710"/>
      <c r="Q38" s="710"/>
      <c r="R38" s="710"/>
      <c r="S38" s="710"/>
      <c r="T38" s="710"/>
      <c r="U38" s="710"/>
      <c r="V38" s="710"/>
      <c r="W38" s="712"/>
      <c r="X38" s="712"/>
      <c r="Y38" s="712"/>
      <c r="Z38" s="710"/>
      <c r="AA38" s="710"/>
      <c r="AB38" s="710"/>
      <c r="AC38" s="710"/>
      <c r="AD38" s="710"/>
      <c r="AE38" s="710"/>
      <c r="AF38" s="710"/>
      <c r="AG38" s="710"/>
      <c r="AH38" s="710"/>
      <c r="AI38" s="710"/>
      <c r="AJ38" s="710"/>
      <c r="AK38" s="710"/>
      <c r="AL38" s="710"/>
      <c r="AM38" s="710"/>
      <c r="AN38" s="710"/>
    </row>
    <row r="39" spans="1:40">
      <c r="A39" s="827"/>
      <c r="B39" s="827"/>
      <c r="C39" s="712"/>
      <c r="D39" s="712"/>
      <c r="E39" s="712"/>
      <c r="F39" s="712"/>
      <c r="G39" s="712"/>
      <c r="H39" s="712"/>
      <c r="I39" s="712"/>
      <c r="J39" s="710"/>
      <c r="K39" s="710"/>
      <c r="L39" s="710"/>
      <c r="M39" s="710"/>
      <c r="N39" s="710"/>
      <c r="O39" s="710"/>
      <c r="P39" s="710"/>
      <c r="Q39" s="710"/>
      <c r="R39" s="710"/>
      <c r="S39" s="710"/>
      <c r="T39" s="710"/>
      <c r="U39" s="710"/>
      <c r="V39" s="710"/>
      <c r="W39" s="712"/>
      <c r="X39" s="712"/>
      <c r="Y39" s="712"/>
      <c r="Z39" s="710"/>
      <c r="AA39" s="710"/>
      <c r="AB39" s="710"/>
      <c r="AC39" s="710"/>
      <c r="AD39" s="710"/>
      <c r="AE39" s="710"/>
      <c r="AF39" s="710"/>
      <c r="AG39" s="710"/>
      <c r="AH39" s="710"/>
      <c r="AI39" s="710"/>
      <c r="AJ39" s="710"/>
      <c r="AK39" s="710"/>
      <c r="AL39" s="710"/>
      <c r="AM39" s="710"/>
      <c r="AN39" s="710"/>
    </row>
    <row r="40" spans="1:40">
      <c r="A40" s="828" t="s">
        <v>848</v>
      </c>
      <c r="B40" s="827"/>
      <c r="C40" s="712"/>
      <c r="D40" s="712"/>
      <c r="E40" s="712"/>
      <c r="F40" s="712"/>
      <c r="G40" s="712"/>
      <c r="H40" s="712"/>
      <c r="I40" s="712"/>
      <c r="J40" s="710"/>
      <c r="K40" s="710"/>
      <c r="L40" s="710"/>
      <c r="M40" s="710"/>
      <c r="N40" s="710"/>
      <c r="O40" s="710"/>
      <c r="P40" s="710"/>
      <c r="Q40" s="710"/>
      <c r="R40" s="710"/>
      <c r="S40" s="710"/>
      <c r="T40" s="710"/>
      <c r="U40" s="710"/>
      <c r="V40" s="710"/>
      <c r="W40" s="712"/>
      <c r="X40" s="712"/>
      <c r="Y40" s="712"/>
      <c r="Z40" s="710"/>
      <c r="AA40" s="710"/>
      <c r="AB40" s="710"/>
      <c r="AC40" s="710"/>
      <c r="AD40" s="710"/>
      <c r="AE40" s="710"/>
      <c r="AF40" s="710"/>
      <c r="AG40" s="710"/>
      <c r="AH40" s="710"/>
      <c r="AI40" s="710"/>
      <c r="AJ40" s="710"/>
      <c r="AK40" s="710"/>
      <c r="AL40" s="710"/>
      <c r="AM40" s="710"/>
      <c r="AN40" s="710"/>
    </row>
    <row r="41" spans="1:40">
      <c r="A41" s="827"/>
      <c r="B41" s="827"/>
      <c r="C41" s="712"/>
      <c r="D41" s="712"/>
      <c r="E41" s="712"/>
      <c r="F41" s="712"/>
      <c r="G41" s="712"/>
      <c r="H41" s="712"/>
      <c r="I41" s="712"/>
      <c r="J41" s="710"/>
      <c r="K41" s="710"/>
      <c r="L41" s="710"/>
      <c r="M41" s="710"/>
      <c r="N41" s="710"/>
      <c r="O41" s="710"/>
      <c r="P41" s="710"/>
      <c r="Q41" s="710"/>
      <c r="R41" s="710"/>
      <c r="S41" s="710"/>
      <c r="T41" s="710"/>
      <c r="U41" s="710"/>
      <c r="V41" s="710"/>
      <c r="W41" s="712"/>
      <c r="X41" s="712"/>
      <c r="Y41" s="712"/>
      <c r="Z41" s="710"/>
      <c r="AA41" s="710"/>
      <c r="AB41" s="710"/>
      <c r="AC41" s="710"/>
      <c r="AD41" s="710"/>
      <c r="AE41" s="710"/>
      <c r="AF41" s="710"/>
      <c r="AG41" s="710"/>
      <c r="AH41" s="710"/>
      <c r="AI41" s="710"/>
      <c r="AJ41" s="710"/>
      <c r="AK41" s="710"/>
      <c r="AL41" s="710"/>
      <c r="AM41" s="710"/>
      <c r="AN41" s="710"/>
    </row>
    <row r="42" spans="1:40">
      <c r="A42" s="827" t="s">
        <v>849</v>
      </c>
      <c r="B42" s="827"/>
      <c r="C42" s="712"/>
      <c r="D42" s="712"/>
      <c r="E42" s="712"/>
      <c r="F42" s="712"/>
      <c r="G42" s="712"/>
      <c r="H42" s="712"/>
      <c r="I42" s="712"/>
      <c r="J42" s="710"/>
      <c r="K42" s="710"/>
      <c r="L42" s="710"/>
      <c r="M42" s="710"/>
      <c r="N42" s="710"/>
      <c r="O42" s="710"/>
      <c r="P42" s="710"/>
      <c r="Q42" s="710"/>
      <c r="R42" s="710"/>
      <c r="S42" s="710"/>
      <c r="T42" s="710"/>
      <c r="U42" s="710"/>
      <c r="V42" s="710"/>
      <c r="W42" s="712"/>
      <c r="X42" s="712"/>
      <c r="Y42" s="712"/>
      <c r="Z42" s="710"/>
      <c r="AA42" s="710"/>
      <c r="AB42" s="710"/>
      <c r="AC42" s="710"/>
      <c r="AD42" s="710"/>
      <c r="AE42" s="710"/>
      <c r="AF42" s="710"/>
      <c r="AG42" s="710"/>
      <c r="AH42" s="710"/>
      <c r="AI42" s="710"/>
      <c r="AJ42" s="710"/>
      <c r="AK42" s="710"/>
      <c r="AL42" s="710"/>
      <c r="AM42" s="710"/>
      <c r="AN42" s="710"/>
    </row>
    <row r="43" spans="1:40">
      <c r="A43" s="677" t="s">
        <v>850</v>
      </c>
      <c r="B43" s="710"/>
      <c r="C43" s="712"/>
      <c r="D43" s="712"/>
      <c r="E43" s="712"/>
      <c r="F43" s="712"/>
      <c r="G43" s="712"/>
      <c r="H43" s="712"/>
      <c r="I43" s="712"/>
      <c r="J43" s="710"/>
      <c r="K43" s="710"/>
      <c r="L43" s="710"/>
      <c r="M43" s="710"/>
      <c r="N43" s="710"/>
      <c r="O43" s="710"/>
      <c r="P43" s="710"/>
      <c r="Q43" s="710"/>
      <c r="R43" s="710"/>
      <c r="S43" s="710"/>
      <c r="T43" s="710"/>
      <c r="U43" s="710"/>
      <c r="V43" s="710"/>
      <c r="W43" s="712"/>
      <c r="X43" s="712"/>
      <c r="Z43" s="710"/>
      <c r="AA43" s="710"/>
      <c r="AB43" s="710"/>
      <c r="AC43" s="710"/>
      <c r="AD43" s="710"/>
      <c r="AE43" s="710"/>
      <c r="AF43" s="710"/>
      <c r="AG43" s="710"/>
      <c r="AH43" s="710"/>
      <c r="AI43" s="710"/>
      <c r="AJ43" s="710"/>
      <c r="AK43" s="710"/>
      <c r="AL43" s="710"/>
      <c r="AM43" s="710"/>
      <c r="AN43" s="710"/>
    </row>
    <row r="44" spans="1:40">
      <c r="A44" s="710"/>
      <c r="B44" s="710"/>
      <c r="C44" s="712"/>
      <c r="D44" s="712"/>
      <c r="E44" s="712"/>
      <c r="F44" s="712"/>
      <c r="G44" s="712"/>
      <c r="H44" s="712"/>
      <c r="I44" s="712"/>
      <c r="J44" s="710"/>
      <c r="K44" s="710"/>
      <c r="L44" s="710"/>
      <c r="M44" s="710"/>
      <c r="N44" s="710"/>
      <c r="O44" s="710"/>
      <c r="P44" s="710"/>
      <c r="Q44" s="710"/>
      <c r="R44" s="710"/>
      <c r="S44" s="710"/>
      <c r="T44" s="710"/>
      <c r="U44" s="710"/>
      <c r="V44" s="710"/>
      <c r="W44" s="712"/>
      <c r="X44" s="712"/>
      <c r="Y44" s="712"/>
      <c r="Z44" s="710"/>
      <c r="AA44" s="710"/>
      <c r="AB44" s="710"/>
      <c r="AC44" s="710"/>
      <c r="AD44" s="710"/>
      <c r="AE44" s="710"/>
      <c r="AF44" s="710"/>
      <c r="AG44" s="710"/>
      <c r="AH44" s="710"/>
      <c r="AI44" s="710"/>
      <c r="AJ44" s="710"/>
      <c r="AK44" s="710"/>
      <c r="AL44" s="710"/>
      <c r="AM44" s="710"/>
      <c r="AN44" s="710"/>
    </row>
    <row r="45" spans="1:40">
      <c r="A45" s="710"/>
      <c r="B45" s="710"/>
      <c r="C45" s="712"/>
      <c r="D45" s="712"/>
      <c r="E45" s="712"/>
      <c r="F45" s="712"/>
      <c r="G45" s="712"/>
      <c r="H45" s="712"/>
      <c r="I45" s="712"/>
      <c r="J45" s="710"/>
      <c r="K45" s="710"/>
      <c r="L45" s="710"/>
      <c r="M45" s="710"/>
      <c r="N45" s="710"/>
      <c r="O45" s="710"/>
      <c r="P45" s="710"/>
      <c r="Q45" s="710"/>
      <c r="R45" s="710"/>
      <c r="S45" s="710"/>
      <c r="T45" s="710"/>
      <c r="U45" s="710"/>
      <c r="V45" s="710"/>
      <c r="W45" s="712"/>
      <c r="X45" s="712"/>
      <c r="Y45" s="712"/>
      <c r="Z45" s="710"/>
      <c r="AA45" s="710"/>
      <c r="AB45" s="710"/>
      <c r="AC45" s="710"/>
      <c r="AD45" s="710"/>
      <c r="AE45" s="710"/>
      <c r="AF45" s="710"/>
      <c r="AG45" s="710"/>
      <c r="AH45" s="710"/>
      <c r="AI45" s="710"/>
      <c r="AJ45" s="710"/>
      <c r="AK45" s="710"/>
      <c r="AL45" s="710"/>
      <c r="AM45" s="710"/>
      <c r="AN45" s="710"/>
    </row>
    <row r="46" spans="1:40">
      <c r="A46" s="710"/>
      <c r="B46" s="710"/>
      <c r="C46" s="712"/>
      <c r="D46" s="712"/>
      <c r="E46" s="712"/>
      <c r="F46" s="712"/>
      <c r="G46" s="712"/>
      <c r="H46" s="712"/>
      <c r="I46" s="712"/>
      <c r="J46" s="710"/>
      <c r="K46" s="710"/>
      <c r="L46" s="710"/>
      <c r="M46" s="710"/>
      <c r="N46" s="710"/>
      <c r="O46" s="710"/>
      <c r="P46" s="710"/>
      <c r="Q46" s="710"/>
      <c r="R46" s="710"/>
      <c r="S46" s="710"/>
      <c r="T46" s="710"/>
      <c r="U46" s="710"/>
      <c r="V46" s="710"/>
      <c r="W46" s="712"/>
      <c r="X46" s="712"/>
      <c r="Y46" s="712"/>
      <c r="Z46" s="710"/>
      <c r="AA46" s="710"/>
      <c r="AB46" s="710"/>
      <c r="AC46" s="710"/>
      <c r="AD46" s="710"/>
      <c r="AE46" s="710"/>
      <c r="AF46" s="710"/>
      <c r="AG46" s="710"/>
      <c r="AH46" s="710"/>
      <c r="AI46" s="710"/>
      <c r="AJ46" s="710"/>
      <c r="AK46" s="710"/>
      <c r="AL46" s="710"/>
      <c r="AM46" s="710"/>
      <c r="AN46" s="710"/>
    </row>
    <row r="47" spans="1:40">
      <c r="A47" s="710"/>
      <c r="B47" s="710"/>
      <c r="C47" s="712"/>
      <c r="D47" s="712"/>
      <c r="E47" s="712"/>
      <c r="F47" s="712"/>
      <c r="G47" s="712"/>
      <c r="H47" s="712"/>
      <c r="I47" s="712"/>
      <c r="J47" s="710"/>
      <c r="K47" s="710"/>
      <c r="L47" s="710"/>
      <c r="M47" s="710"/>
      <c r="N47" s="710"/>
      <c r="O47" s="710"/>
      <c r="P47" s="710"/>
      <c r="Q47" s="710"/>
      <c r="R47" s="710"/>
      <c r="S47" s="710"/>
      <c r="T47" s="710"/>
      <c r="U47" s="710"/>
      <c r="V47" s="710"/>
      <c r="W47" s="712"/>
      <c r="X47" s="712"/>
      <c r="Y47" s="712"/>
      <c r="Z47" s="710"/>
      <c r="AA47" s="710"/>
      <c r="AB47" s="710"/>
      <c r="AC47" s="710"/>
      <c r="AD47" s="710"/>
      <c r="AE47" s="710"/>
      <c r="AF47" s="710"/>
      <c r="AG47" s="710"/>
      <c r="AH47" s="710"/>
      <c r="AI47" s="710"/>
      <c r="AJ47" s="710"/>
      <c r="AK47" s="710"/>
      <c r="AL47" s="710"/>
      <c r="AM47" s="710"/>
      <c r="AN47" s="710"/>
    </row>
    <row r="48" spans="1:40">
      <c r="A48" s="710"/>
      <c r="B48" s="710"/>
      <c r="C48" s="712"/>
      <c r="D48" s="712"/>
      <c r="E48" s="712"/>
      <c r="F48" s="712"/>
      <c r="G48" s="712"/>
      <c r="H48" s="712"/>
      <c r="I48" s="712"/>
      <c r="J48" s="710"/>
      <c r="K48" s="710"/>
      <c r="L48" s="710"/>
      <c r="M48" s="710"/>
      <c r="N48" s="710"/>
      <c r="O48" s="710"/>
      <c r="P48" s="710"/>
      <c r="Q48" s="710"/>
      <c r="R48" s="710"/>
      <c r="S48" s="710"/>
      <c r="T48" s="710"/>
      <c r="U48" s="710"/>
      <c r="V48" s="710"/>
      <c r="W48" s="712"/>
      <c r="X48" s="712"/>
      <c r="Y48" s="712"/>
      <c r="Z48" s="710"/>
      <c r="AA48" s="710"/>
      <c r="AB48" s="710"/>
      <c r="AC48" s="710"/>
      <c r="AD48" s="710"/>
      <c r="AE48" s="710"/>
      <c r="AF48" s="710"/>
      <c r="AG48" s="710"/>
      <c r="AH48" s="710"/>
      <c r="AI48" s="710"/>
      <c r="AJ48" s="710"/>
      <c r="AK48" s="710"/>
      <c r="AL48" s="710"/>
      <c r="AM48" s="710"/>
      <c r="AN48" s="710"/>
    </row>
    <row r="49" spans="1:40">
      <c r="A49" s="710"/>
      <c r="B49" s="710"/>
      <c r="C49" s="712"/>
      <c r="D49" s="712"/>
      <c r="E49" s="712"/>
      <c r="F49" s="712"/>
      <c r="G49" s="712"/>
      <c r="H49" s="712"/>
      <c r="I49" s="712"/>
      <c r="J49" s="710"/>
      <c r="K49" s="710"/>
      <c r="L49" s="710"/>
      <c r="M49" s="710"/>
      <c r="N49" s="710"/>
      <c r="O49" s="710"/>
      <c r="P49" s="710"/>
      <c r="Q49" s="710"/>
      <c r="R49" s="710"/>
      <c r="S49" s="710"/>
      <c r="T49" s="710"/>
      <c r="U49" s="710"/>
      <c r="V49" s="710"/>
      <c r="W49" s="712"/>
      <c r="X49" s="712"/>
      <c r="Y49" s="712"/>
      <c r="Z49" s="710"/>
      <c r="AA49" s="710"/>
      <c r="AB49" s="710"/>
      <c r="AC49" s="710"/>
      <c r="AD49" s="710"/>
      <c r="AE49" s="710"/>
      <c r="AF49" s="710"/>
      <c r="AG49" s="710"/>
      <c r="AH49" s="710"/>
      <c r="AI49" s="710"/>
      <c r="AJ49" s="710"/>
      <c r="AK49" s="710"/>
      <c r="AL49" s="710"/>
      <c r="AM49" s="710"/>
      <c r="AN49" s="710"/>
    </row>
    <row r="50" spans="1:40">
      <c r="A50" s="710"/>
      <c r="B50" s="710"/>
      <c r="C50" s="712"/>
      <c r="D50" s="712"/>
      <c r="E50" s="712"/>
      <c r="F50" s="712"/>
      <c r="G50" s="712"/>
      <c r="H50" s="712"/>
      <c r="I50" s="712"/>
      <c r="J50" s="710"/>
      <c r="K50" s="710"/>
      <c r="L50" s="710"/>
      <c r="M50" s="710"/>
      <c r="N50" s="710"/>
      <c r="O50" s="710"/>
      <c r="P50" s="710"/>
      <c r="Q50" s="710"/>
      <c r="R50" s="710"/>
      <c r="S50" s="710"/>
      <c r="T50" s="710"/>
      <c r="U50" s="710"/>
      <c r="V50" s="710"/>
      <c r="W50" s="712"/>
      <c r="X50" s="712"/>
      <c r="Y50" s="712"/>
      <c r="Z50" s="710"/>
      <c r="AA50" s="710"/>
      <c r="AB50" s="710"/>
      <c r="AC50" s="710"/>
      <c r="AD50" s="710"/>
      <c r="AE50" s="710"/>
      <c r="AF50" s="710"/>
      <c r="AG50" s="710"/>
      <c r="AH50" s="710"/>
      <c r="AI50" s="710"/>
      <c r="AJ50" s="710"/>
      <c r="AK50" s="710"/>
      <c r="AL50" s="710"/>
      <c r="AM50" s="710"/>
      <c r="AN50" s="710"/>
    </row>
    <row r="51" spans="1:40">
      <c r="A51" s="710"/>
      <c r="B51" s="710"/>
      <c r="C51" s="712"/>
      <c r="D51" s="712"/>
      <c r="E51" s="712"/>
      <c r="F51" s="712"/>
      <c r="G51" s="712"/>
      <c r="H51" s="712"/>
      <c r="I51" s="712"/>
      <c r="J51" s="710"/>
      <c r="K51" s="710"/>
      <c r="L51" s="710"/>
      <c r="M51" s="710"/>
      <c r="N51" s="710"/>
      <c r="O51" s="710"/>
      <c r="P51" s="710"/>
      <c r="Q51" s="710"/>
      <c r="R51" s="710"/>
      <c r="S51" s="710"/>
      <c r="T51" s="710"/>
      <c r="U51" s="710"/>
      <c r="V51" s="710"/>
      <c r="W51" s="712"/>
      <c r="X51" s="712"/>
      <c r="Y51" s="712"/>
      <c r="Z51" s="710"/>
      <c r="AA51" s="710"/>
      <c r="AB51" s="710"/>
      <c r="AC51" s="710"/>
      <c r="AD51" s="710"/>
      <c r="AE51" s="710"/>
      <c r="AF51" s="710"/>
      <c r="AG51" s="710"/>
      <c r="AH51" s="710"/>
      <c r="AI51" s="710"/>
      <c r="AJ51" s="710"/>
      <c r="AK51" s="710"/>
      <c r="AL51" s="710"/>
      <c r="AM51" s="710"/>
      <c r="AN51" s="710"/>
    </row>
    <row r="52" spans="1:40">
      <c r="A52" s="710"/>
      <c r="B52" s="710"/>
      <c r="C52" s="712"/>
      <c r="D52" s="712"/>
      <c r="E52" s="712"/>
      <c r="F52" s="712"/>
      <c r="G52" s="712"/>
      <c r="H52" s="712"/>
      <c r="I52" s="712"/>
      <c r="J52" s="710"/>
      <c r="K52" s="710"/>
      <c r="L52" s="710"/>
      <c r="M52" s="710"/>
      <c r="N52" s="710"/>
      <c r="O52" s="710"/>
      <c r="P52" s="710"/>
      <c r="Q52" s="710"/>
      <c r="R52" s="710"/>
      <c r="S52" s="710"/>
      <c r="T52" s="710"/>
      <c r="U52" s="710"/>
      <c r="V52" s="710"/>
      <c r="W52" s="712"/>
      <c r="X52" s="712"/>
      <c r="Y52" s="712"/>
      <c r="Z52" s="710"/>
      <c r="AA52" s="710"/>
      <c r="AB52" s="710"/>
      <c r="AC52" s="710"/>
      <c r="AD52" s="710"/>
      <c r="AE52" s="710"/>
      <c r="AF52" s="710"/>
      <c r="AG52" s="710"/>
      <c r="AH52" s="710"/>
      <c r="AI52" s="710"/>
      <c r="AJ52" s="710"/>
      <c r="AK52" s="710"/>
      <c r="AL52" s="710"/>
      <c r="AM52" s="710"/>
      <c r="AN52" s="710"/>
    </row>
    <row r="53" spans="1:40">
      <c r="A53" s="710"/>
      <c r="B53" s="710"/>
      <c r="C53" s="712"/>
      <c r="D53" s="712"/>
      <c r="E53" s="712"/>
      <c r="F53" s="712"/>
      <c r="G53" s="712"/>
      <c r="H53" s="712"/>
      <c r="I53" s="712"/>
      <c r="J53" s="710"/>
      <c r="K53" s="710"/>
      <c r="L53" s="710"/>
      <c r="M53" s="710"/>
      <c r="N53" s="710"/>
      <c r="O53" s="710"/>
      <c r="P53" s="710"/>
      <c r="Q53" s="710"/>
      <c r="R53" s="710"/>
      <c r="S53" s="710"/>
      <c r="T53" s="710"/>
      <c r="U53" s="710"/>
      <c r="V53" s="710"/>
      <c r="W53" s="712"/>
      <c r="X53" s="712"/>
      <c r="Y53" s="712"/>
      <c r="Z53" s="710"/>
      <c r="AA53" s="710"/>
      <c r="AB53" s="710"/>
      <c r="AC53" s="710"/>
      <c r="AD53" s="710"/>
      <c r="AE53" s="710"/>
      <c r="AF53" s="710"/>
      <c r="AG53" s="710"/>
      <c r="AH53" s="710"/>
      <c r="AI53" s="710"/>
      <c r="AJ53" s="710"/>
      <c r="AK53" s="710"/>
      <c r="AL53" s="710"/>
      <c r="AM53" s="710"/>
      <c r="AN53" s="710"/>
    </row>
    <row r="54" spans="1:40">
      <c r="A54" s="710"/>
      <c r="B54" s="710"/>
      <c r="C54" s="712"/>
      <c r="D54" s="712"/>
      <c r="E54" s="712"/>
      <c r="F54" s="712"/>
      <c r="G54" s="712"/>
      <c r="H54" s="712"/>
      <c r="I54" s="712"/>
      <c r="J54" s="710"/>
      <c r="K54" s="710"/>
      <c r="L54" s="710"/>
      <c r="M54" s="710"/>
      <c r="N54" s="710"/>
      <c r="O54" s="710"/>
      <c r="P54" s="710"/>
      <c r="Q54" s="710"/>
      <c r="R54" s="710"/>
      <c r="S54" s="710"/>
      <c r="T54" s="710"/>
      <c r="U54" s="710"/>
      <c r="V54" s="710"/>
      <c r="W54" s="712"/>
      <c r="X54" s="712"/>
      <c r="Y54" s="712"/>
      <c r="Z54" s="710"/>
      <c r="AA54" s="710"/>
      <c r="AB54" s="710"/>
      <c r="AC54" s="710"/>
      <c r="AD54" s="710"/>
      <c r="AE54" s="710"/>
      <c r="AF54" s="710"/>
      <c r="AG54" s="710"/>
      <c r="AH54" s="710"/>
      <c r="AI54" s="710"/>
      <c r="AJ54" s="710"/>
      <c r="AK54" s="710"/>
      <c r="AL54" s="710"/>
      <c r="AM54" s="710"/>
      <c r="AN54" s="710"/>
    </row>
    <row r="55" spans="1:40">
      <c r="A55" s="710"/>
      <c r="B55" s="710"/>
      <c r="C55" s="712"/>
      <c r="D55" s="712"/>
      <c r="E55" s="712"/>
      <c r="F55" s="712"/>
      <c r="G55" s="712"/>
      <c r="H55" s="712"/>
      <c r="I55" s="712"/>
      <c r="J55" s="710"/>
      <c r="K55" s="710"/>
      <c r="L55" s="710"/>
      <c r="M55" s="710"/>
      <c r="N55" s="710"/>
      <c r="O55" s="710"/>
      <c r="P55" s="710"/>
      <c r="Q55" s="710"/>
      <c r="R55" s="710"/>
      <c r="S55" s="710"/>
      <c r="T55" s="710"/>
      <c r="U55" s="710"/>
      <c r="V55" s="710"/>
      <c r="W55" s="712"/>
      <c r="X55" s="712"/>
      <c r="Y55" s="712"/>
      <c r="Z55" s="710"/>
      <c r="AA55" s="710"/>
      <c r="AB55" s="710"/>
      <c r="AC55" s="710"/>
      <c r="AD55" s="710"/>
      <c r="AE55" s="710"/>
      <c r="AF55" s="710"/>
      <c r="AG55" s="710"/>
      <c r="AH55" s="710"/>
      <c r="AI55" s="710"/>
      <c r="AJ55" s="710"/>
      <c r="AK55" s="710"/>
      <c r="AL55" s="710"/>
      <c r="AM55" s="710"/>
      <c r="AN55" s="710"/>
    </row>
    <row r="56" spans="1:40">
      <c r="A56" s="710"/>
      <c r="B56" s="710"/>
      <c r="C56" s="712"/>
      <c r="D56" s="712"/>
      <c r="E56" s="712"/>
      <c r="F56" s="712"/>
      <c r="G56" s="712"/>
      <c r="H56" s="712"/>
      <c r="I56" s="712"/>
      <c r="J56" s="710"/>
      <c r="K56" s="710"/>
      <c r="L56" s="710"/>
      <c r="M56" s="710"/>
      <c r="N56" s="710"/>
      <c r="O56" s="710"/>
      <c r="P56" s="710"/>
      <c r="Q56" s="710"/>
      <c r="R56" s="710"/>
      <c r="S56" s="710"/>
      <c r="T56" s="710"/>
      <c r="U56" s="710"/>
      <c r="V56" s="710"/>
      <c r="W56" s="712"/>
      <c r="X56" s="712"/>
      <c r="Y56" s="712"/>
      <c r="Z56" s="710"/>
      <c r="AA56" s="710"/>
      <c r="AB56" s="710"/>
      <c r="AC56" s="710"/>
      <c r="AD56" s="710"/>
      <c r="AE56" s="710"/>
      <c r="AF56" s="710"/>
      <c r="AG56" s="710"/>
      <c r="AH56" s="710"/>
      <c r="AI56" s="710"/>
      <c r="AJ56" s="710"/>
      <c r="AK56" s="710"/>
      <c r="AL56" s="710"/>
      <c r="AM56" s="710"/>
      <c r="AN56" s="710"/>
    </row>
    <row r="57" spans="1:40">
      <c r="A57" s="710"/>
      <c r="B57" s="710"/>
      <c r="C57" s="712"/>
      <c r="D57" s="712"/>
      <c r="E57" s="712"/>
      <c r="F57" s="712"/>
      <c r="G57" s="712"/>
      <c r="H57" s="712"/>
      <c r="I57" s="712"/>
      <c r="J57" s="710"/>
      <c r="K57" s="710"/>
      <c r="L57" s="710"/>
      <c r="M57" s="710"/>
      <c r="N57" s="710"/>
      <c r="O57" s="710"/>
      <c r="P57" s="710"/>
      <c r="Q57" s="710"/>
      <c r="R57" s="710"/>
      <c r="S57" s="710"/>
      <c r="T57" s="710"/>
      <c r="U57" s="710"/>
      <c r="V57" s="710"/>
      <c r="W57" s="712"/>
      <c r="X57" s="712"/>
      <c r="Y57" s="712"/>
      <c r="Z57" s="710"/>
      <c r="AA57" s="710"/>
      <c r="AB57" s="710"/>
      <c r="AC57" s="710"/>
      <c r="AD57" s="710"/>
      <c r="AE57" s="710"/>
      <c r="AF57" s="710"/>
      <c r="AG57" s="710"/>
      <c r="AH57" s="710"/>
      <c r="AI57" s="710"/>
      <c r="AJ57" s="710"/>
      <c r="AK57" s="710"/>
      <c r="AL57" s="710"/>
      <c r="AM57" s="710"/>
      <c r="AN57" s="710"/>
    </row>
    <row r="58" spans="1:40">
      <c r="A58" s="710"/>
      <c r="B58" s="710"/>
      <c r="C58" s="712"/>
      <c r="D58" s="712"/>
      <c r="E58" s="712"/>
      <c r="F58" s="712"/>
      <c r="G58" s="712"/>
      <c r="H58" s="712"/>
      <c r="I58" s="712"/>
      <c r="J58" s="710"/>
      <c r="K58" s="710"/>
      <c r="L58" s="710"/>
      <c r="M58" s="710"/>
      <c r="N58" s="710"/>
      <c r="O58" s="710"/>
      <c r="P58" s="710"/>
      <c r="Q58" s="710"/>
      <c r="R58" s="710"/>
      <c r="S58" s="710"/>
      <c r="T58" s="710"/>
      <c r="U58" s="710"/>
      <c r="V58" s="710"/>
      <c r="W58" s="712"/>
      <c r="X58" s="712"/>
      <c r="Y58" s="712"/>
      <c r="Z58" s="710"/>
      <c r="AA58" s="710"/>
      <c r="AB58" s="710"/>
      <c r="AC58" s="710"/>
      <c r="AD58" s="710"/>
      <c r="AE58" s="710"/>
      <c r="AF58" s="710"/>
      <c r="AG58" s="710"/>
      <c r="AH58" s="710"/>
      <c r="AI58" s="710"/>
      <c r="AJ58" s="710"/>
      <c r="AK58" s="710"/>
      <c r="AL58" s="710"/>
      <c r="AM58" s="710"/>
      <c r="AN58" s="710"/>
    </row>
    <row r="59" spans="1:40">
      <c r="A59" s="710"/>
      <c r="B59" s="710"/>
      <c r="C59" s="712"/>
      <c r="D59" s="712"/>
      <c r="E59" s="712"/>
      <c r="F59" s="712"/>
      <c r="G59" s="712"/>
      <c r="H59" s="712"/>
      <c r="I59" s="712"/>
      <c r="J59" s="710"/>
      <c r="K59" s="710"/>
      <c r="L59" s="710"/>
      <c r="M59" s="710"/>
      <c r="N59" s="710"/>
      <c r="O59" s="710"/>
      <c r="P59" s="710"/>
      <c r="Q59" s="710"/>
      <c r="R59" s="710"/>
      <c r="S59" s="710"/>
      <c r="T59" s="710"/>
      <c r="U59" s="710"/>
      <c r="V59" s="710"/>
      <c r="W59" s="712"/>
      <c r="X59" s="712"/>
      <c r="Y59" s="712"/>
      <c r="Z59" s="710"/>
      <c r="AA59" s="710"/>
      <c r="AB59" s="710"/>
      <c r="AC59" s="710"/>
      <c r="AD59" s="710"/>
      <c r="AE59" s="710"/>
      <c r="AF59" s="710"/>
      <c r="AG59" s="710"/>
      <c r="AH59" s="710"/>
      <c r="AI59" s="710"/>
      <c r="AJ59" s="710"/>
      <c r="AK59" s="710"/>
      <c r="AL59" s="710"/>
      <c r="AM59" s="710"/>
      <c r="AN59" s="710"/>
    </row>
    <row r="60" spans="1:40">
      <c r="A60" s="710"/>
      <c r="B60" s="710"/>
      <c r="C60" s="712"/>
      <c r="D60" s="712"/>
      <c r="E60" s="712"/>
      <c r="F60" s="712"/>
      <c r="G60" s="712"/>
      <c r="H60" s="712"/>
      <c r="I60" s="712"/>
      <c r="J60" s="710"/>
      <c r="K60" s="710"/>
      <c r="L60" s="710"/>
      <c r="M60" s="710"/>
      <c r="N60" s="710"/>
      <c r="O60" s="710"/>
      <c r="P60" s="710"/>
      <c r="Q60" s="710"/>
      <c r="R60" s="710"/>
      <c r="S60" s="710"/>
      <c r="T60" s="710"/>
      <c r="U60" s="710"/>
      <c r="V60" s="710"/>
      <c r="W60" s="712"/>
      <c r="X60" s="712"/>
      <c r="Y60" s="712"/>
      <c r="Z60" s="710"/>
      <c r="AA60" s="710"/>
      <c r="AB60" s="710"/>
      <c r="AC60" s="710"/>
      <c r="AD60" s="710"/>
      <c r="AE60" s="710"/>
      <c r="AF60" s="710"/>
      <c r="AG60" s="710"/>
      <c r="AH60" s="710"/>
      <c r="AI60" s="710"/>
      <c r="AJ60" s="710"/>
      <c r="AK60" s="710"/>
      <c r="AL60" s="710"/>
      <c r="AM60" s="710"/>
      <c r="AN60" s="710"/>
    </row>
    <row r="61" spans="1:40">
      <c r="A61" s="710"/>
      <c r="B61" s="710"/>
      <c r="C61" s="712"/>
      <c r="D61" s="712"/>
      <c r="E61" s="712"/>
      <c r="F61" s="712"/>
      <c r="G61" s="712"/>
      <c r="H61" s="712"/>
      <c r="I61" s="712"/>
      <c r="J61" s="710"/>
      <c r="K61" s="710"/>
      <c r="L61" s="710"/>
      <c r="M61" s="710"/>
      <c r="N61" s="710"/>
      <c r="O61" s="710"/>
      <c r="P61" s="710"/>
      <c r="Q61" s="710"/>
      <c r="R61" s="710"/>
      <c r="S61" s="710"/>
      <c r="T61" s="710"/>
      <c r="U61" s="710"/>
      <c r="V61" s="710"/>
      <c r="W61" s="712"/>
      <c r="X61" s="712"/>
      <c r="Y61" s="712"/>
      <c r="Z61" s="710"/>
      <c r="AA61" s="710"/>
      <c r="AB61" s="710"/>
      <c r="AC61" s="710"/>
      <c r="AD61" s="710"/>
      <c r="AE61" s="710"/>
      <c r="AF61" s="710"/>
      <c r="AG61" s="710"/>
      <c r="AH61" s="710"/>
      <c r="AI61" s="710"/>
      <c r="AJ61" s="710"/>
      <c r="AK61" s="710"/>
      <c r="AL61" s="710"/>
      <c r="AM61" s="710"/>
      <c r="AN61" s="710"/>
    </row>
    <row r="62" spans="1:40">
      <c r="A62" s="710"/>
      <c r="B62" s="710"/>
      <c r="C62" s="712"/>
      <c r="D62" s="712"/>
      <c r="E62" s="712"/>
      <c r="F62" s="712"/>
      <c r="G62" s="712"/>
      <c r="H62" s="712"/>
      <c r="I62" s="712"/>
      <c r="J62" s="710"/>
      <c r="K62" s="710"/>
      <c r="L62" s="710"/>
      <c r="M62" s="710"/>
      <c r="N62" s="710"/>
      <c r="O62" s="710"/>
      <c r="P62" s="710"/>
      <c r="Q62" s="710"/>
      <c r="R62" s="710"/>
      <c r="S62" s="710"/>
      <c r="T62" s="710"/>
      <c r="U62" s="710"/>
      <c r="V62" s="710"/>
      <c r="W62" s="712"/>
      <c r="X62" s="712"/>
      <c r="Y62" s="712"/>
      <c r="Z62" s="710"/>
      <c r="AA62" s="710"/>
      <c r="AB62" s="710"/>
      <c r="AC62" s="710"/>
      <c r="AD62" s="710"/>
      <c r="AE62" s="710"/>
      <c r="AF62" s="710"/>
      <c r="AG62" s="710"/>
      <c r="AH62" s="710"/>
      <c r="AI62" s="710"/>
      <c r="AJ62" s="710"/>
      <c r="AK62" s="710"/>
      <c r="AL62" s="710"/>
      <c r="AM62" s="710"/>
      <c r="AN62" s="710"/>
    </row>
    <row r="63" spans="1:40">
      <c r="A63" s="710"/>
      <c r="B63" s="710"/>
      <c r="C63" s="712"/>
      <c r="D63" s="712"/>
      <c r="E63" s="712"/>
      <c r="F63" s="712"/>
      <c r="G63" s="712"/>
      <c r="H63" s="712"/>
      <c r="I63" s="712"/>
      <c r="J63" s="710"/>
      <c r="K63" s="710"/>
      <c r="L63" s="710"/>
      <c r="M63" s="710"/>
      <c r="N63" s="710"/>
      <c r="O63" s="710"/>
      <c r="P63" s="710"/>
      <c r="Q63" s="710"/>
      <c r="R63" s="710"/>
      <c r="S63" s="710"/>
      <c r="T63" s="710"/>
      <c r="U63" s="710"/>
      <c r="V63" s="710"/>
      <c r="W63" s="712"/>
      <c r="X63" s="712"/>
      <c r="Y63" s="712"/>
      <c r="Z63" s="710"/>
      <c r="AA63" s="710"/>
      <c r="AB63" s="710"/>
      <c r="AC63" s="710"/>
      <c r="AD63" s="710"/>
      <c r="AE63" s="710"/>
      <c r="AF63" s="710"/>
      <c r="AG63" s="710"/>
      <c r="AH63" s="710"/>
      <c r="AI63" s="710"/>
      <c r="AJ63" s="710"/>
      <c r="AK63" s="710"/>
      <c r="AL63" s="710"/>
      <c r="AM63" s="710"/>
      <c r="AN63" s="710"/>
    </row>
    <row r="64" spans="1:40">
      <c r="A64" s="710"/>
      <c r="B64" s="710"/>
      <c r="C64" s="712"/>
      <c r="D64" s="712"/>
      <c r="E64" s="712"/>
      <c r="F64" s="712"/>
      <c r="G64" s="712"/>
      <c r="H64" s="712"/>
      <c r="I64" s="712"/>
      <c r="J64" s="710"/>
      <c r="K64" s="710"/>
      <c r="L64" s="710"/>
      <c r="M64" s="710"/>
      <c r="N64" s="710"/>
      <c r="O64" s="710"/>
      <c r="P64" s="710"/>
      <c r="Q64" s="710"/>
      <c r="R64" s="710"/>
      <c r="S64" s="710"/>
      <c r="T64" s="710"/>
      <c r="U64" s="710"/>
      <c r="V64" s="710"/>
      <c r="W64" s="712"/>
      <c r="X64" s="712"/>
      <c r="Y64" s="712"/>
      <c r="Z64" s="710"/>
      <c r="AA64" s="710"/>
      <c r="AB64" s="710"/>
      <c r="AC64" s="710"/>
      <c r="AD64" s="710"/>
      <c r="AE64" s="710"/>
      <c r="AF64" s="710"/>
      <c r="AG64" s="710"/>
      <c r="AH64" s="710"/>
      <c r="AI64" s="710"/>
      <c r="AJ64" s="710"/>
      <c r="AK64" s="710"/>
      <c r="AL64" s="710"/>
      <c r="AM64" s="710"/>
      <c r="AN64" s="710"/>
    </row>
    <row r="65" spans="1:40">
      <c r="A65" s="710"/>
      <c r="B65" s="710"/>
      <c r="C65" s="712"/>
      <c r="D65" s="712"/>
      <c r="E65" s="712"/>
      <c r="F65" s="712"/>
      <c r="G65" s="712"/>
      <c r="H65" s="712"/>
      <c r="I65" s="712"/>
      <c r="J65" s="710"/>
      <c r="K65" s="710"/>
      <c r="L65" s="710"/>
      <c r="M65" s="710"/>
      <c r="N65" s="710"/>
      <c r="O65" s="710"/>
      <c r="P65" s="710"/>
      <c r="Q65" s="710"/>
      <c r="R65" s="710"/>
      <c r="S65" s="710"/>
      <c r="T65" s="710"/>
      <c r="U65" s="710"/>
      <c r="V65" s="710"/>
      <c r="W65" s="712"/>
      <c r="X65" s="712"/>
      <c r="Y65" s="712"/>
      <c r="Z65" s="710"/>
      <c r="AA65" s="710"/>
      <c r="AB65" s="710"/>
      <c r="AC65" s="710"/>
      <c r="AD65" s="710"/>
      <c r="AE65" s="710"/>
      <c r="AF65" s="710"/>
      <c r="AG65" s="710"/>
      <c r="AH65" s="710"/>
      <c r="AI65" s="710"/>
      <c r="AJ65" s="710"/>
      <c r="AK65" s="710"/>
      <c r="AL65" s="710"/>
      <c r="AM65" s="710"/>
      <c r="AN65" s="710"/>
    </row>
    <row r="66" spans="1:40">
      <c r="A66" s="710"/>
      <c r="B66" s="710"/>
      <c r="C66" s="712"/>
      <c r="D66" s="712"/>
      <c r="E66" s="712"/>
      <c r="F66" s="712"/>
      <c r="G66" s="712"/>
      <c r="H66" s="712"/>
      <c r="I66" s="712"/>
      <c r="J66" s="710"/>
      <c r="K66" s="710"/>
      <c r="L66" s="710"/>
      <c r="M66" s="710"/>
      <c r="N66" s="710"/>
      <c r="O66" s="710"/>
      <c r="P66" s="710"/>
      <c r="Q66" s="710"/>
      <c r="R66" s="710"/>
      <c r="S66" s="710"/>
      <c r="T66" s="710"/>
      <c r="U66" s="710"/>
      <c r="V66" s="710"/>
      <c r="W66" s="712"/>
      <c r="X66" s="712"/>
      <c r="Y66" s="712"/>
      <c r="Z66" s="710"/>
      <c r="AA66" s="710"/>
      <c r="AB66" s="710"/>
      <c r="AC66" s="710"/>
      <c r="AD66" s="710"/>
      <c r="AE66" s="710"/>
      <c r="AF66" s="710"/>
      <c r="AG66" s="710"/>
      <c r="AH66" s="710"/>
      <c r="AI66" s="710"/>
      <c r="AJ66" s="710"/>
      <c r="AK66" s="710"/>
      <c r="AL66" s="710"/>
      <c r="AM66" s="710"/>
      <c r="AN66" s="710"/>
    </row>
    <row r="67" spans="1:40">
      <c r="A67" s="710"/>
      <c r="B67" s="710"/>
      <c r="C67" s="712"/>
      <c r="D67" s="712"/>
      <c r="E67" s="712"/>
      <c r="F67" s="712"/>
      <c r="G67" s="712"/>
      <c r="H67" s="712"/>
      <c r="I67" s="712"/>
      <c r="J67" s="710"/>
      <c r="K67" s="710"/>
      <c r="L67" s="710"/>
      <c r="M67" s="710"/>
      <c r="N67" s="710"/>
      <c r="O67" s="710"/>
      <c r="P67" s="710"/>
      <c r="Q67" s="710"/>
      <c r="R67" s="710"/>
      <c r="S67" s="710"/>
      <c r="T67" s="710"/>
      <c r="U67" s="710"/>
      <c r="V67" s="710"/>
      <c r="W67" s="712"/>
      <c r="X67" s="712"/>
      <c r="Y67" s="712"/>
      <c r="Z67" s="710"/>
      <c r="AA67" s="710"/>
      <c r="AB67" s="710"/>
      <c r="AC67" s="710"/>
      <c r="AD67" s="710"/>
      <c r="AE67" s="710"/>
      <c r="AF67" s="710"/>
      <c r="AG67" s="710"/>
      <c r="AH67" s="710"/>
      <c r="AI67" s="710"/>
      <c r="AJ67" s="710"/>
      <c r="AK67" s="710"/>
      <c r="AL67" s="710"/>
      <c r="AM67" s="710"/>
      <c r="AN67" s="710"/>
    </row>
    <row r="68" spans="1:40">
      <c r="A68" s="710"/>
      <c r="B68" s="710"/>
      <c r="C68" s="712"/>
      <c r="D68" s="712"/>
      <c r="E68" s="712"/>
      <c r="F68" s="712"/>
      <c r="G68" s="712"/>
      <c r="H68" s="712"/>
      <c r="I68" s="712"/>
      <c r="J68" s="710"/>
      <c r="K68" s="710"/>
      <c r="L68" s="710"/>
      <c r="M68" s="710"/>
      <c r="N68" s="710"/>
      <c r="O68" s="710"/>
      <c r="P68" s="710"/>
      <c r="Q68" s="710"/>
      <c r="R68" s="710"/>
      <c r="S68" s="710"/>
      <c r="T68" s="710"/>
      <c r="U68" s="710"/>
      <c r="V68" s="710"/>
      <c r="W68" s="712"/>
      <c r="X68" s="712"/>
      <c r="Y68" s="712"/>
      <c r="Z68" s="710"/>
      <c r="AA68" s="710"/>
      <c r="AB68" s="710"/>
      <c r="AC68" s="710"/>
      <c r="AD68" s="710"/>
      <c r="AE68" s="710"/>
      <c r="AF68" s="710"/>
      <c r="AG68" s="710"/>
      <c r="AH68" s="710"/>
      <c r="AI68" s="710"/>
      <c r="AJ68" s="710"/>
      <c r="AK68" s="710"/>
      <c r="AL68" s="710"/>
      <c r="AM68" s="710"/>
      <c r="AN68" s="710"/>
    </row>
    <row r="69" spans="1:40">
      <c r="A69" s="710"/>
      <c r="B69" s="710"/>
      <c r="C69" s="712"/>
      <c r="D69" s="712"/>
      <c r="E69" s="712"/>
      <c r="F69" s="712"/>
      <c r="G69" s="712"/>
      <c r="H69" s="712"/>
      <c r="I69" s="712"/>
      <c r="J69" s="710"/>
      <c r="K69" s="710"/>
      <c r="L69" s="710"/>
      <c r="M69" s="710"/>
      <c r="N69" s="710"/>
      <c r="O69" s="710"/>
      <c r="P69" s="710"/>
      <c r="Q69" s="710"/>
      <c r="R69" s="710"/>
      <c r="S69" s="710"/>
      <c r="T69" s="710"/>
      <c r="U69" s="710"/>
      <c r="V69" s="710"/>
      <c r="W69" s="712"/>
      <c r="X69" s="712"/>
      <c r="Y69" s="712"/>
      <c r="Z69" s="710"/>
      <c r="AA69" s="710"/>
      <c r="AB69" s="710"/>
      <c r="AC69" s="710"/>
      <c r="AD69" s="710"/>
      <c r="AE69" s="710"/>
      <c r="AF69" s="710"/>
      <c r="AG69" s="710"/>
      <c r="AH69" s="710"/>
      <c r="AI69" s="710"/>
      <c r="AJ69" s="710"/>
      <c r="AK69" s="710"/>
      <c r="AL69" s="710"/>
      <c r="AM69" s="710"/>
      <c r="AN69" s="710"/>
    </row>
    <row r="70" spans="1:40">
      <c r="A70" s="710"/>
      <c r="B70" s="710"/>
      <c r="C70" s="712"/>
      <c r="D70" s="712"/>
      <c r="E70" s="712"/>
      <c r="F70" s="712"/>
      <c r="G70" s="712"/>
      <c r="H70" s="712"/>
      <c r="I70" s="712"/>
      <c r="J70" s="710"/>
      <c r="K70" s="710"/>
      <c r="L70" s="710"/>
      <c r="M70" s="710"/>
      <c r="N70" s="710"/>
      <c r="O70" s="710"/>
      <c r="P70" s="710"/>
      <c r="Q70" s="710"/>
      <c r="R70" s="710"/>
      <c r="S70" s="710"/>
      <c r="T70" s="710"/>
      <c r="U70" s="710"/>
      <c r="V70" s="710"/>
      <c r="W70" s="712"/>
      <c r="X70" s="712"/>
      <c r="Y70" s="712"/>
      <c r="Z70" s="710"/>
      <c r="AA70" s="710"/>
      <c r="AB70" s="710"/>
      <c r="AC70" s="710"/>
      <c r="AD70" s="710"/>
      <c r="AE70" s="710"/>
      <c r="AF70" s="710"/>
      <c r="AG70" s="710"/>
      <c r="AH70" s="710"/>
      <c r="AI70" s="710"/>
      <c r="AJ70" s="710"/>
      <c r="AK70" s="710"/>
      <c r="AL70" s="710"/>
      <c r="AM70" s="710"/>
      <c r="AN70" s="710"/>
    </row>
    <row r="71" spans="1:40">
      <c r="A71" s="710"/>
      <c r="B71" s="710"/>
      <c r="C71" s="712"/>
      <c r="D71" s="712"/>
      <c r="E71" s="712"/>
      <c r="F71" s="712"/>
      <c r="G71" s="712"/>
      <c r="H71" s="712"/>
      <c r="I71" s="712"/>
      <c r="J71" s="710"/>
      <c r="K71" s="710"/>
      <c r="L71" s="710"/>
      <c r="M71" s="710"/>
      <c r="N71" s="710"/>
      <c r="O71" s="710"/>
      <c r="P71" s="710"/>
      <c r="Q71" s="710"/>
      <c r="R71" s="710"/>
      <c r="S71" s="710"/>
      <c r="T71" s="710"/>
      <c r="U71" s="710"/>
      <c r="V71" s="710"/>
      <c r="W71" s="712"/>
      <c r="X71" s="712"/>
      <c r="Y71" s="712"/>
      <c r="Z71" s="710"/>
      <c r="AA71" s="710"/>
      <c r="AB71" s="710"/>
      <c r="AC71" s="710"/>
      <c r="AD71" s="710"/>
      <c r="AE71" s="710"/>
      <c r="AF71" s="710"/>
      <c r="AG71" s="710"/>
      <c r="AH71" s="710"/>
      <c r="AI71" s="710"/>
      <c r="AJ71" s="710"/>
      <c r="AK71" s="710"/>
      <c r="AL71" s="710"/>
      <c r="AM71" s="710"/>
      <c r="AN71" s="710"/>
    </row>
    <row r="72" spans="1:40">
      <c r="A72" s="710"/>
      <c r="B72" s="710"/>
      <c r="C72" s="712"/>
      <c r="D72" s="712"/>
      <c r="E72" s="712"/>
      <c r="F72" s="712"/>
      <c r="G72" s="712"/>
      <c r="H72" s="712"/>
      <c r="I72" s="712"/>
      <c r="J72" s="710"/>
      <c r="K72" s="710"/>
      <c r="L72" s="710"/>
      <c r="M72" s="710"/>
      <c r="N72" s="710"/>
      <c r="O72" s="710"/>
      <c r="P72" s="710"/>
      <c r="Q72" s="710"/>
      <c r="R72" s="710"/>
      <c r="S72" s="710"/>
      <c r="T72" s="710"/>
      <c r="U72" s="710"/>
      <c r="V72" s="710"/>
      <c r="W72" s="712"/>
      <c r="X72" s="712"/>
      <c r="Y72" s="712"/>
      <c r="Z72" s="710"/>
      <c r="AA72" s="710"/>
      <c r="AB72" s="710"/>
      <c r="AC72" s="710"/>
      <c r="AD72" s="710"/>
      <c r="AE72" s="710"/>
      <c r="AF72" s="710"/>
      <c r="AG72" s="710"/>
      <c r="AH72" s="710"/>
      <c r="AI72" s="710"/>
      <c r="AJ72" s="710"/>
      <c r="AK72" s="710"/>
      <c r="AL72" s="710"/>
      <c r="AM72" s="710"/>
      <c r="AN72" s="710"/>
    </row>
    <row r="73" spans="1:40">
      <c r="A73" s="710"/>
      <c r="B73" s="710"/>
      <c r="C73" s="712"/>
      <c r="D73" s="712"/>
      <c r="E73" s="712"/>
      <c r="F73" s="712"/>
      <c r="G73" s="712"/>
      <c r="H73" s="712"/>
      <c r="I73" s="712"/>
      <c r="J73" s="710"/>
      <c r="K73" s="710"/>
      <c r="L73" s="710"/>
      <c r="M73" s="710"/>
      <c r="N73" s="710"/>
      <c r="O73" s="710"/>
      <c r="P73" s="710"/>
      <c r="Q73" s="710"/>
      <c r="R73" s="710"/>
      <c r="S73" s="710"/>
      <c r="T73" s="710"/>
      <c r="U73" s="710"/>
      <c r="V73" s="710"/>
      <c r="W73" s="712"/>
      <c r="X73" s="712"/>
      <c r="Y73" s="712"/>
      <c r="Z73" s="710"/>
      <c r="AA73" s="710"/>
      <c r="AB73" s="710"/>
      <c r="AC73" s="710"/>
      <c r="AD73" s="710"/>
      <c r="AE73" s="710"/>
      <c r="AF73" s="710"/>
      <c r="AG73" s="710"/>
      <c r="AH73" s="710"/>
      <c r="AI73" s="710"/>
      <c r="AJ73" s="710"/>
      <c r="AK73" s="710"/>
      <c r="AL73" s="710"/>
      <c r="AM73" s="710"/>
      <c r="AN73" s="710"/>
    </row>
    <row r="74" spans="1:40">
      <c r="A74" s="710"/>
      <c r="B74" s="710"/>
      <c r="C74" s="712"/>
      <c r="D74" s="712"/>
      <c r="E74" s="712"/>
      <c r="F74" s="712"/>
      <c r="G74" s="712"/>
      <c r="H74" s="712"/>
      <c r="I74" s="712"/>
      <c r="J74" s="710"/>
      <c r="K74" s="710"/>
      <c r="L74" s="710"/>
      <c r="M74" s="710"/>
      <c r="N74" s="710"/>
      <c r="O74" s="710"/>
      <c r="P74" s="710"/>
      <c r="Q74" s="710"/>
      <c r="R74" s="710"/>
      <c r="S74" s="710"/>
      <c r="T74" s="710"/>
      <c r="U74" s="710"/>
      <c r="V74" s="710"/>
      <c r="W74" s="712"/>
      <c r="X74" s="712"/>
      <c r="Y74" s="712"/>
      <c r="Z74" s="710"/>
      <c r="AA74" s="710"/>
      <c r="AB74" s="710"/>
      <c r="AC74" s="710"/>
      <c r="AD74" s="710"/>
      <c r="AE74" s="710"/>
      <c r="AF74" s="710"/>
      <c r="AG74" s="710"/>
      <c r="AH74" s="710"/>
      <c r="AI74" s="710"/>
      <c r="AJ74" s="710"/>
      <c r="AK74" s="710"/>
      <c r="AL74" s="710"/>
      <c r="AM74" s="710"/>
      <c r="AN74" s="710"/>
    </row>
    <row r="75" spans="1:40">
      <c r="A75" s="710"/>
      <c r="B75" s="710"/>
      <c r="C75" s="712"/>
      <c r="D75" s="712"/>
      <c r="E75" s="712"/>
      <c r="F75" s="712"/>
      <c r="G75" s="712"/>
      <c r="H75" s="712"/>
      <c r="I75" s="712"/>
      <c r="J75" s="710"/>
      <c r="K75" s="710"/>
      <c r="L75" s="710"/>
      <c r="M75" s="710"/>
      <c r="N75" s="710"/>
      <c r="O75" s="710"/>
      <c r="P75" s="710"/>
      <c r="Q75" s="710"/>
      <c r="R75" s="710"/>
      <c r="S75" s="710"/>
      <c r="T75" s="710"/>
      <c r="U75" s="710"/>
      <c r="V75" s="710"/>
      <c r="W75" s="712"/>
      <c r="X75" s="712"/>
      <c r="Y75" s="712"/>
      <c r="Z75" s="710"/>
      <c r="AA75" s="710"/>
      <c r="AB75" s="710"/>
      <c r="AC75" s="710"/>
      <c r="AD75" s="710"/>
      <c r="AE75" s="710"/>
      <c r="AF75" s="710"/>
      <c r="AG75" s="710"/>
      <c r="AH75" s="710"/>
      <c r="AI75" s="710"/>
      <c r="AJ75" s="710"/>
      <c r="AK75" s="710"/>
      <c r="AL75" s="710"/>
      <c r="AM75" s="710"/>
      <c r="AN75" s="710"/>
    </row>
    <row r="76" spans="1:40">
      <c r="A76" s="710"/>
      <c r="B76" s="710"/>
      <c r="C76" s="712"/>
      <c r="D76" s="712"/>
      <c r="E76" s="712"/>
      <c r="F76" s="712"/>
      <c r="G76" s="712"/>
      <c r="H76" s="712"/>
      <c r="I76" s="712"/>
      <c r="J76" s="710"/>
      <c r="K76" s="710"/>
      <c r="L76" s="710"/>
      <c r="M76" s="710"/>
      <c r="N76" s="710"/>
      <c r="O76" s="710"/>
      <c r="P76" s="710"/>
      <c r="Q76" s="710"/>
      <c r="R76" s="710"/>
      <c r="S76" s="710"/>
      <c r="T76" s="710"/>
      <c r="U76" s="710"/>
      <c r="V76" s="710"/>
      <c r="W76" s="712"/>
      <c r="X76" s="712"/>
      <c r="Y76" s="712"/>
      <c r="Z76" s="710"/>
      <c r="AA76" s="710"/>
      <c r="AB76" s="710"/>
      <c r="AC76" s="710"/>
      <c r="AD76" s="710"/>
      <c r="AE76" s="710"/>
      <c r="AF76" s="710"/>
      <c r="AG76" s="710"/>
      <c r="AH76" s="710"/>
      <c r="AI76" s="710"/>
      <c r="AJ76" s="710"/>
      <c r="AK76" s="710"/>
      <c r="AL76" s="710"/>
      <c r="AM76" s="710"/>
      <c r="AN76" s="710"/>
    </row>
    <row r="77" spans="1:40">
      <c r="A77" s="710"/>
      <c r="B77" s="710"/>
      <c r="C77" s="712"/>
      <c r="D77" s="712"/>
      <c r="E77" s="712"/>
      <c r="F77" s="712"/>
      <c r="G77" s="712"/>
      <c r="H77" s="712"/>
      <c r="I77" s="712"/>
      <c r="J77" s="710"/>
      <c r="K77" s="710"/>
      <c r="L77" s="710"/>
      <c r="M77" s="710"/>
      <c r="N77" s="710"/>
      <c r="O77" s="710"/>
      <c r="P77" s="710"/>
      <c r="Q77" s="710"/>
      <c r="R77" s="710"/>
      <c r="S77" s="710"/>
      <c r="T77" s="710"/>
      <c r="U77" s="710"/>
      <c r="V77" s="710"/>
      <c r="W77" s="712"/>
      <c r="X77" s="712"/>
      <c r="Y77" s="712"/>
      <c r="Z77" s="710"/>
      <c r="AA77" s="710"/>
      <c r="AB77" s="710"/>
      <c r="AC77" s="710"/>
      <c r="AD77" s="710"/>
      <c r="AE77" s="710"/>
      <c r="AF77" s="710"/>
      <c r="AG77" s="710"/>
      <c r="AH77" s="710"/>
      <c r="AI77" s="710"/>
      <c r="AJ77" s="710"/>
      <c r="AK77" s="710"/>
      <c r="AL77" s="710"/>
      <c r="AM77" s="710"/>
      <c r="AN77" s="710"/>
    </row>
    <row r="78" spans="1:40">
      <c r="A78" s="710"/>
      <c r="B78" s="710"/>
      <c r="C78" s="712"/>
      <c r="D78" s="712"/>
      <c r="E78" s="712"/>
      <c r="F78" s="712"/>
      <c r="G78" s="712"/>
      <c r="H78" s="712"/>
      <c r="I78" s="712"/>
      <c r="J78" s="710"/>
      <c r="K78" s="710"/>
      <c r="L78" s="710"/>
      <c r="M78" s="710"/>
      <c r="N78" s="710"/>
      <c r="O78" s="710"/>
      <c r="P78" s="710"/>
      <c r="Q78" s="710"/>
      <c r="R78" s="710"/>
      <c r="S78" s="710"/>
      <c r="T78" s="710"/>
      <c r="U78" s="710"/>
      <c r="V78" s="710"/>
      <c r="W78" s="712"/>
      <c r="X78" s="712"/>
      <c r="Y78" s="712"/>
      <c r="Z78" s="710"/>
      <c r="AA78" s="710"/>
      <c r="AB78" s="710"/>
      <c r="AC78" s="710"/>
      <c r="AD78" s="710"/>
      <c r="AE78" s="710"/>
      <c r="AF78" s="710"/>
      <c r="AG78" s="710"/>
      <c r="AH78" s="710"/>
      <c r="AI78" s="710"/>
      <c r="AJ78" s="710"/>
      <c r="AK78" s="710"/>
      <c r="AL78" s="710"/>
      <c r="AM78" s="710"/>
      <c r="AN78" s="710"/>
    </row>
    <row r="79" spans="1:40">
      <c r="A79" s="710"/>
      <c r="B79" s="710"/>
      <c r="C79" s="712"/>
      <c r="D79" s="712"/>
      <c r="E79" s="712"/>
      <c r="F79" s="712"/>
      <c r="G79" s="712"/>
      <c r="H79" s="712"/>
      <c r="I79" s="712"/>
      <c r="J79" s="710"/>
      <c r="K79" s="710"/>
      <c r="L79" s="710"/>
      <c r="M79" s="710"/>
      <c r="N79" s="710"/>
      <c r="O79" s="710"/>
      <c r="P79" s="710"/>
      <c r="Q79" s="710"/>
      <c r="R79" s="710"/>
      <c r="S79" s="710"/>
      <c r="T79" s="710"/>
      <c r="U79" s="710"/>
      <c r="V79" s="710"/>
      <c r="W79" s="712"/>
      <c r="X79" s="712"/>
      <c r="Y79" s="712"/>
      <c r="Z79" s="710"/>
      <c r="AA79" s="710"/>
      <c r="AB79" s="710"/>
      <c r="AC79" s="710"/>
      <c r="AD79" s="710"/>
      <c r="AE79" s="710"/>
      <c r="AF79" s="710"/>
      <c r="AG79" s="710"/>
      <c r="AH79" s="710"/>
      <c r="AI79" s="710"/>
      <c r="AJ79" s="710"/>
      <c r="AK79" s="710"/>
      <c r="AL79" s="710"/>
      <c r="AM79" s="710"/>
      <c r="AN79" s="710"/>
    </row>
    <row r="80" spans="1:40">
      <c r="A80" s="710"/>
      <c r="B80" s="710"/>
      <c r="C80" s="712"/>
      <c r="D80" s="712"/>
      <c r="E80" s="712"/>
      <c r="F80" s="712"/>
      <c r="G80" s="712"/>
      <c r="H80" s="712"/>
      <c r="I80" s="712"/>
      <c r="J80" s="710"/>
      <c r="K80" s="710"/>
      <c r="L80" s="710"/>
      <c r="M80" s="710"/>
      <c r="N80" s="710"/>
      <c r="O80" s="710"/>
      <c r="P80" s="710"/>
      <c r="Q80" s="710"/>
      <c r="R80" s="710"/>
      <c r="S80" s="710"/>
      <c r="T80" s="710"/>
      <c r="U80" s="710"/>
      <c r="V80" s="710"/>
      <c r="W80" s="712"/>
      <c r="X80" s="712"/>
      <c r="Y80" s="712"/>
      <c r="Z80" s="710"/>
      <c r="AA80" s="710"/>
      <c r="AB80" s="710"/>
      <c r="AC80" s="710"/>
      <c r="AD80" s="710"/>
      <c r="AE80" s="710"/>
      <c r="AF80" s="710"/>
      <c r="AG80" s="710"/>
      <c r="AH80" s="710"/>
      <c r="AI80" s="710"/>
      <c r="AJ80" s="710"/>
      <c r="AK80" s="710"/>
      <c r="AL80" s="710"/>
      <c r="AM80" s="710"/>
      <c r="AN80" s="710"/>
    </row>
    <row r="81" spans="1:40">
      <c r="A81" s="710"/>
      <c r="B81" s="710"/>
      <c r="C81" s="712"/>
      <c r="D81" s="712"/>
      <c r="E81" s="712"/>
      <c r="F81" s="712"/>
      <c r="G81" s="712"/>
      <c r="H81" s="712"/>
      <c r="I81" s="712"/>
      <c r="J81" s="710"/>
      <c r="K81" s="710"/>
      <c r="L81" s="710"/>
      <c r="M81" s="710"/>
      <c r="N81" s="710"/>
      <c r="O81" s="710"/>
      <c r="P81" s="710"/>
      <c r="Q81" s="710"/>
      <c r="R81" s="710"/>
      <c r="S81" s="710"/>
      <c r="T81" s="710"/>
      <c r="U81" s="710"/>
      <c r="V81" s="710"/>
      <c r="W81" s="712"/>
      <c r="X81" s="712"/>
      <c r="Y81" s="712"/>
      <c r="Z81" s="710"/>
      <c r="AA81" s="710"/>
      <c r="AB81" s="710"/>
      <c r="AC81" s="710"/>
      <c r="AD81" s="710"/>
      <c r="AE81" s="710"/>
      <c r="AF81" s="710"/>
      <c r="AG81" s="710"/>
      <c r="AH81" s="710"/>
      <c r="AI81" s="710"/>
      <c r="AJ81" s="710"/>
      <c r="AK81" s="710"/>
      <c r="AL81" s="710"/>
      <c r="AM81" s="710"/>
      <c r="AN81" s="710"/>
    </row>
    <row r="82" spans="1:40">
      <c r="A82" s="710"/>
      <c r="B82" s="710"/>
      <c r="C82" s="712"/>
      <c r="D82" s="712"/>
      <c r="E82" s="712"/>
      <c r="F82" s="712"/>
      <c r="G82" s="712"/>
      <c r="H82" s="712"/>
      <c r="I82" s="712"/>
      <c r="J82" s="710"/>
      <c r="K82" s="710"/>
      <c r="L82" s="710"/>
      <c r="M82" s="710"/>
      <c r="N82" s="710"/>
      <c r="O82" s="710"/>
      <c r="P82" s="710"/>
      <c r="Q82" s="710"/>
      <c r="R82" s="710"/>
      <c r="S82" s="710"/>
      <c r="T82" s="710"/>
      <c r="U82" s="710"/>
      <c r="V82" s="710"/>
      <c r="W82" s="712"/>
      <c r="X82" s="712"/>
      <c r="Y82" s="712"/>
      <c r="Z82" s="710"/>
      <c r="AA82" s="710"/>
      <c r="AB82" s="710"/>
      <c r="AC82" s="710"/>
      <c r="AD82" s="710"/>
      <c r="AE82" s="710"/>
      <c r="AF82" s="710"/>
      <c r="AG82" s="710"/>
      <c r="AH82" s="710"/>
      <c r="AI82" s="710"/>
      <c r="AJ82" s="710"/>
      <c r="AK82" s="710"/>
      <c r="AL82" s="710"/>
      <c r="AM82" s="710"/>
      <c r="AN82" s="710"/>
    </row>
    <row r="83" spans="1:40">
      <c r="A83" s="710"/>
      <c r="B83" s="710"/>
      <c r="C83" s="712"/>
      <c r="D83" s="712"/>
      <c r="E83" s="712"/>
      <c r="F83" s="712"/>
      <c r="G83" s="712"/>
      <c r="H83" s="712"/>
      <c r="I83" s="712"/>
      <c r="J83" s="710"/>
      <c r="K83" s="710"/>
      <c r="L83" s="710"/>
      <c r="M83" s="710"/>
      <c r="N83" s="710"/>
      <c r="O83" s="710"/>
      <c r="P83" s="710"/>
      <c r="Q83" s="710"/>
      <c r="R83" s="710"/>
      <c r="S83" s="710"/>
      <c r="T83" s="710"/>
      <c r="U83" s="710"/>
      <c r="V83" s="710"/>
      <c r="W83" s="712"/>
      <c r="X83" s="712"/>
      <c r="Y83" s="712"/>
      <c r="Z83" s="710"/>
      <c r="AA83" s="710"/>
      <c r="AB83" s="710"/>
      <c r="AC83" s="710"/>
      <c r="AD83" s="710"/>
      <c r="AE83" s="710"/>
      <c r="AF83" s="710"/>
      <c r="AG83" s="710"/>
      <c r="AH83" s="710"/>
      <c r="AI83" s="710"/>
      <c r="AJ83" s="710"/>
      <c r="AK83" s="710"/>
      <c r="AL83" s="710"/>
      <c r="AM83" s="710"/>
      <c r="AN83" s="710"/>
    </row>
    <row r="84" spans="1:40">
      <c r="A84" s="710"/>
      <c r="B84" s="710"/>
      <c r="C84" s="712"/>
      <c r="D84" s="712"/>
      <c r="E84" s="712"/>
      <c r="F84" s="712"/>
      <c r="G84" s="712"/>
      <c r="H84" s="712"/>
      <c r="I84" s="712"/>
      <c r="J84" s="710"/>
      <c r="K84" s="710"/>
      <c r="L84" s="710"/>
      <c r="M84" s="710"/>
      <c r="N84" s="710"/>
      <c r="O84" s="710"/>
      <c r="P84" s="710"/>
      <c r="Q84" s="710"/>
      <c r="R84" s="710"/>
      <c r="S84" s="710"/>
      <c r="T84" s="710"/>
      <c r="U84" s="710"/>
      <c r="V84" s="710"/>
      <c r="W84" s="712"/>
      <c r="X84" s="712"/>
      <c r="Y84" s="712"/>
      <c r="Z84" s="710"/>
      <c r="AA84" s="710"/>
      <c r="AB84" s="710"/>
      <c r="AC84" s="710"/>
      <c r="AD84" s="710"/>
      <c r="AE84" s="710"/>
      <c r="AF84" s="710"/>
      <c r="AG84" s="710"/>
      <c r="AH84" s="710"/>
      <c r="AI84" s="710"/>
      <c r="AJ84" s="710"/>
      <c r="AK84" s="710"/>
      <c r="AL84" s="710"/>
      <c r="AM84" s="710"/>
      <c r="AN84" s="710"/>
    </row>
    <row r="85" spans="1:40">
      <c r="A85" s="710"/>
      <c r="B85" s="710"/>
      <c r="C85" s="712"/>
      <c r="D85" s="712"/>
      <c r="E85" s="712"/>
      <c r="F85" s="712"/>
      <c r="G85" s="712"/>
      <c r="H85" s="712"/>
      <c r="I85" s="712"/>
      <c r="J85" s="710"/>
      <c r="K85" s="710"/>
      <c r="L85" s="710"/>
      <c r="M85" s="710"/>
      <c r="N85" s="710"/>
      <c r="O85" s="710"/>
      <c r="P85" s="710"/>
      <c r="Q85" s="710"/>
      <c r="R85" s="710"/>
      <c r="S85" s="710"/>
      <c r="T85" s="710"/>
      <c r="U85" s="710"/>
      <c r="V85" s="710"/>
      <c r="W85" s="712"/>
      <c r="X85" s="712"/>
      <c r="Y85" s="712"/>
      <c r="Z85" s="710"/>
      <c r="AA85" s="710"/>
      <c r="AB85" s="710"/>
      <c r="AC85" s="710"/>
      <c r="AD85" s="710"/>
      <c r="AE85" s="710"/>
      <c r="AF85" s="710"/>
      <c r="AG85" s="710"/>
      <c r="AH85" s="710"/>
      <c r="AI85" s="710"/>
      <c r="AJ85" s="710"/>
      <c r="AK85" s="710"/>
      <c r="AL85" s="710"/>
      <c r="AM85" s="710"/>
      <c r="AN85" s="710"/>
    </row>
    <row r="86" spans="1:40">
      <c r="A86" s="710"/>
      <c r="B86" s="710"/>
      <c r="C86" s="712"/>
      <c r="D86" s="712"/>
      <c r="E86" s="712"/>
      <c r="F86" s="712"/>
      <c r="G86" s="712"/>
      <c r="H86" s="712"/>
      <c r="I86" s="712"/>
      <c r="J86" s="710"/>
      <c r="K86" s="710"/>
      <c r="L86" s="710"/>
      <c r="M86" s="710"/>
      <c r="N86" s="710"/>
      <c r="O86" s="710"/>
      <c r="P86" s="710"/>
      <c r="Q86" s="710"/>
      <c r="R86" s="710"/>
      <c r="S86" s="710"/>
      <c r="T86" s="710"/>
      <c r="U86" s="710"/>
      <c r="V86" s="710"/>
      <c r="W86" s="712"/>
      <c r="X86" s="712"/>
      <c r="Y86" s="712"/>
      <c r="Z86" s="710"/>
      <c r="AA86" s="710"/>
      <c r="AB86" s="710"/>
      <c r="AC86" s="710"/>
      <c r="AD86" s="710"/>
      <c r="AE86" s="710"/>
      <c r="AF86" s="710"/>
      <c r="AG86" s="710"/>
      <c r="AH86" s="710"/>
      <c r="AI86" s="710"/>
      <c r="AJ86" s="710"/>
      <c r="AK86" s="710"/>
      <c r="AL86" s="710"/>
      <c r="AM86" s="710"/>
      <c r="AN86" s="710"/>
    </row>
    <row r="87" spans="1:40">
      <c r="A87" s="710"/>
      <c r="B87" s="710"/>
      <c r="C87" s="712"/>
      <c r="D87" s="712"/>
      <c r="E87" s="712"/>
      <c r="F87" s="712"/>
      <c r="G87" s="712"/>
      <c r="H87" s="712"/>
      <c r="I87" s="712"/>
      <c r="J87" s="710"/>
      <c r="K87" s="710"/>
      <c r="L87" s="710"/>
      <c r="M87" s="710"/>
      <c r="N87" s="710"/>
      <c r="O87" s="710"/>
      <c r="P87" s="710"/>
      <c r="Q87" s="710"/>
      <c r="R87" s="710"/>
      <c r="S87" s="710"/>
      <c r="T87" s="710"/>
      <c r="U87" s="710"/>
      <c r="V87" s="710"/>
      <c r="W87" s="712"/>
      <c r="X87" s="712"/>
      <c r="Y87" s="712"/>
      <c r="Z87" s="710"/>
      <c r="AA87" s="710"/>
      <c r="AB87" s="710"/>
      <c r="AC87" s="710"/>
      <c r="AD87" s="710"/>
      <c r="AE87" s="710"/>
      <c r="AF87" s="710"/>
      <c r="AG87" s="710"/>
      <c r="AH87" s="710"/>
      <c r="AI87" s="710"/>
      <c r="AJ87" s="710"/>
      <c r="AK87" s="710"/>
      <c r="AL87" s="710"/>
      <c r="AM87" s="710"/>
      <c r="AN87" s="710"/>
    </row>
    <row r="88" spans="1:40">
      <c r="A88" s="710"/>
      <c r="B88" s="710"/>
      <c r="C88" s="712"/>
      <c r="D88" s="712"/>
      <c r="E88" s="712"/>
      <c r="F88" s="712"/>
      <c r="G88" s="712"/>
      <c r="H88" s="712"/>
      <c r="I88" s="712"/>
      <c r="J88" s="710"/>
      <c r="K88" s="710"/>
      <c r="L88" s="710"/>
      <c r="M88" s="710"/>
      <c r="N88" s="710"/>
      <c r="O88" s="710"/>
      <c r="P88" s="710"/>
      <c r="Q88" s="710"/>
      <c r="R88" s="710"/>
      <c r="S88" s="710"/>
      <c r="T88" s="710"/>
      <c r="U88" s="710"/>
      <c r="V88" s="710"/>
      <c r="W88" s="712"/>
      <c r="X88" s="712"/>
      <c r="Y88" s="712"/>
      <c r="Z88" s="710"/>
      <c r="AA88" s="710"/>
      <c r="AB88" s="710"/>
      <c r="AC88" s="710"/>
      <c r="AD88" s="710"/>
      <c r="AE88" s="710"/>
      <c r="AF88" s="710"/>
      <c r="AG88" s="710"/>
      <c r="AH88" s="710"/>
      <c r="AI88" s="710"/>
      <c r="AJ88" s="710"/>
      <c r="AK88" s="710"/>
      <c r="AL88" s="710"/>
      <c r="AM88" s="710"/>
      <c r="AN88" s="710"/>
    </row>
    <row r="89" spans="1:40">
      <c r="A89" s="710"/>
      <c r="B89" s="710"/>
      <c r="C89" s="712"/>
      <c r="D89" s="712"/>
      <c r="E89" s="712"/>
      <c r="F89" s="712"/>
      <c r="G89" s="712"/>
      <c r="H89" s="712"/>
      <c r="I89" s="712"/>
      <c r="J89" s="710"/>
      <c r="K89" s="710"/>
      <c r="L89" s="710"/>
      <c r="M89" s="710"/>
      <c r="N89" s="710"/>
      <c r="O89" s="710"/>
      <c r="P89" s="710"/>
      <c r="Q89" s="710"/>
      <c r="R89" s="710"/>
      <c r="S89" s="710"/>
      <c r="T89" s="710"/>
      <c r="U89" s="710"/>
      <c r="V89" s="710"/>
      <c r="W89" s="712"/>
      <c r="X89" s="712"/>
      <c r="Y89" s="712"/>
      <c r="Z89" s="710"/>
      <c r="AA89" s="710"/>
      <c r="AB89" s="710"/>
      <c r="AC89" s="710"/>
      <c r="AD89" s="710"/>
      <c r="AE89" s="710"/>
      <c r="AF89" s="710"/>
      <c r="AG89" s="710"/>
      <c r="AH89" s="710"/>
      <c r="AI89" s="710"/>
      <c r="AJ89" s="710"/>
      <c r="AK89" s="710"/>
      <c r="AL89" s="710"/>
      <c r="AM89" s="710"/>
      <c r="AN89" s="710"/>
    </row>
    <row r="90" spans="1:40">
      <c r="A90" s="710"/>
      <c r="B90" s="710"/>
      <c r="C90" s="712"/>
      <c r="D90" s="712"/>
      <c r="E90" s="712"/>
      <c r="F90" s="712"/>
      <c r="G90" s="712"/>
      <c r="H90" s="712"/>
      <c r="I90" s="712"/>
      <c r="J90" s="710"/>
      <c r="K90" s="710"/>
      <c r="L90" s="710"/>
      <c r="M90" s="710"/>
      <c r="N90" s="710"/>
      <c r="O90" s="710"/>
      <c r="P90" s="710"/>
      <c r="Q90" s="710"/>
      <c r="R90" s="710"/>
      <c r="S90" s="710"/>
      <c r="T90" s="710"/>
      <c r="U90" s="710"/>
      <c r="V90" s="710"/>
      <c r="W90" s="712"/>
      <c r="X90" s="712"/>
      <c r="Y90" s="712"/>
      <c r="Z90" s="710"/>
      <c r="AA90" s="710"/>
      <c r="AB90" s="710"/>
      <c r="AC90" s="710"/>
      <c r="AD90" s="710"/>
      <c r="AE90" s="710"/>
      <c r="AF90" s="710"/>
      <c r="AG90" s="710"/>
      <c r="AH90" s="710"/>
      <c r="AI90" s="710"/>
      <c r="AJ90" s="710"/>
      <c r="AK90" s="710"/>
      <c r="AL90" s="710"/>
      <c r="AM90" s="710"/>
      <c r="AN90" s="710"/>
    </row>
    <row r="91" spans="1:40">
      <c r="A91" s="710"/>
      <c r="B91" s="710"/>
      <c r="C91" s="712"/>
      <c r="D91" s="712"/>
      <c r="E91" s="712"/>
      <c r="F91" s="712"/>
      <c r="G91" s="712"/>
      <c r="H91" s="712"/>
      <c r="I91" s="712"/>
      <c r="J91" s="710"/>
      <c r="K91" s="710"/>
      <c r="L91" s="710"/>
      <c r="M91" s="710"/>
      <c r="N91" s="710"/>
      <c r="O91" s="710"/>
      <c r="P91" s="710"/>
      <c r="Q91" s="710"/>
      <c r="R91" s="710"/>
      <c r="S91" s="710"/>
      <c r="T91" s="710"/>
      <c r="U91" s="710"/>
      <c r="V91" s="710"/>
      <c r="W91" s="712"/>
      <c r="X91" s="712"/>
      <c r="Y91" s="712"/>
      <c r="Z91" s="710"/>
      <c r="AA91" s="710"/>
      <c r="AB91" s="710"/>
      <c r="AC91" s="710"/>
      <c r="AD91" s="710"/>
      <c r="AE91" s="710"/>
      <c r="AF91" s="710"/>
      <c r="AG91" s="710"/>
      <c r="AH91" s="710"/>
      <c r="AI91" s="710"/>
      <c r="AJ91" s="710"/>
      <c r="AK91" s="710"/>
      <c r="AL91" s="710"/>
      <c r="AM91" s="710"/>
      <c r="AN91" s="710"/>
    </row>
    <row r="92" spans="1:40">
      <c r="A92" s="710"/>
      <c r="B92" s="710"/>
      <c r="C92" s="712"/>
      <c r="D92" s="712"/>
      <c r="E92" s="712"/>
      <c r="F92" s="712"/>
      <c r="G92" s="712"/>
      <c r="H92" s="712"/>
      <c r="I92" s="712"/>
      <c r="J92" s="710"/>
      <c r="K92" s="710"/>
      <c r="L92" s="710"/>
      <c r="M92" s="710"/>
      <c r="N92" s="710"/>
      <c r="O92" s="710"/>
      <c r="P92" s="710"/>
      <c r="Q92" s="710"/>
      <c r="R92" s="710"/>
      <c r="S92" s="710"/>
      <c r="T92" s="710"/>
      <c r="U92" s="710"/>
      <c r="V92" s="710"/>
      <c r="W92" s="712"/>
      <c r="X92" s="712"/>
      <c r="Y92" s="712"/>
      <c r="Z92" s="710"/>
      <c r="AA92" s="710"/>
      <c r="AB92" s="710"/>
      <c r="AC92" s="710"/>
      <c r="AD92" s="710"/>
      <c r="AE92" s="710"/>
      <c r="AF92" s="710"/>
      <c r="AG92" s="710"/>
      <c r="AH92" s="710"/>
      <c r="AI92" s="710"/>
      <c r="AJ92" s="710"/>
      <c r="AK92" s="710"/>
      <c r="AL92" s="710"/>
      <c r="AM92" s="710"/>
      <c r="AN92" s="710"/>
    </row>
    <row r="93" spans="1:40">
      <c r="A93" s="710"/>
      <c r="B93" s="710"/>
      <c r="C93" s="712"/>
      <c r="D93" s="712"/>
      <c r="E93" s="712"/>
      <c r="F93" s="712"/>
      <c r="G93" s="712"/>
      <c r="H93" s="712"/>
      <c r="I93" s="712"/>
      <c r="J93" s="710"/>
      <c r="K93" s="710"/>
      <c r="L93" s="710"/>
      <c r="M93" s="710"/>
      <c r="N93" s="710"/>
      <c r="O93" s="710"/>
      <c r="P93" s="710"/>
      <c r="Q93" s="710"/>
      <c r="R93" s="710"/>
      <c r="S93" s="710"/>
      <c r="T93" s="710"/>
      <c r="U93" s="710"/>
      <c r="V93" s="710"/>
      <c r="W93" s="712"/>
      <c r="X93" s="712"/>
      <c r="Y93" s="712"/>
      <c r="Z93" s="710"/>
      <c r="AA93" s="710"/>
      <c r="AB93" s="710"/>
      <c r="AC93" s="710"/>
      <c r="AD93" s="710"/>
      <c r="AE93" s="710"/>
      <c r="AF93" s="710"/>
      <c r="AG93" s="710"/>
      <c r="AH93" s="710"/>
      <c r="AI93" s="710"/>
      <c r="AJ93" s="710"/>
      <c r="AK93" s="710"/>
      <c r="AL93" s="710"/>
      <c r="AM93" s="710"/>
      <c r="AN93" s="710"/>
    </row>
    <row r="94" spans="1:40">
      <c r="A94" s="710"/>
      <c r="B94" s="710"/>
      <c r="C94" s="712"/>
      <c r="D94" s="712"/>
      <c r="E94" s="712"/>
      <c r="F94" s="712"/>
      <c r="G94" s="712"/>
      <c r="H94" s="712"/>
      <c r="I94" s="712"/>
      <c r="J94" s="710"/>
      <c r="K94" s="710"/>
      <c r="L94" s="710"/>
      <c r="M94" s="710"/>
      <c r="N94" s="710"/>
      <c r="O94" s="710"/>
      <c r="P94" s="710"/>
      <c r="Q94" s="710"/>
      <c r="R94" s="710"/>
      <c r="S94" s="710"/>
      <c r="T94" s="710"/>
      <c r="U94" s="710"/>
      <c r="V94" s="710"/>
      <c r="W94" s="712"/>
      <c r="X94" s="712"/>
      <c r="Y94" s="712"/>
      <c r="Z94" s="710"/>
      <c r="AA94" s="710"/>
      <c r="AB94" s="710"/>
      <c r="AC94" s="710"/>
      <c r="AD94" s="710"/>
      <c r="AE94" s="710"/>
      <c r="AF94" s="710"/>
      <c r="AG94" s="710"/>
      <c r="AH94" s="710"/>
      <c r="AI94" s="710"/>
      <c r="AJ94" s="710"/>
      <c r="AK94" s="710"/>
      <c r="AL94" s="710"/>
      <c r="AM94" s="710"/>
      <c r="AN94" s="710"/>
    </row>
    <row r="95" spans="1:40">
      <c r="A95" s="710"/>
      <c r="B95" s="710"/>
      <c r="C95" s="712"/>
      <c r="D95" s="712"/>
      <c r="E95" s="712"/>
      <c r="F95" s="712"/>
      <c r="G95" s="712"/>
      <c r="H95" s="712"/>
      <c r="I95" s="712"/>
      <c r="J95" s="710"/>
      <c r="K95" s="710"/>
      <c r="L95" s="710"/>
      <c r="M95" s="710"/>
      <c r="N95" s="710"/>
      <c r="O95" s="710"/>
      <c r="P95" s="710"/>
      <c r="Q95" s="710"/>
      <c r="R95" s="710"/>
      <c r="S95" s="710"/>
      <c r="T95" s="710"/>
      <c r="U95" s="710"/>
      <c r="V95" s="710"/>
      <c r="W95" s="712"/>
      <c r="X95" s="712"/>
      <c r="Y95" s="712"/>
      <c r="Z95" s="710"/>
      <c r="AA95" s="710"/>
      <c r="AB95" s="710"/>
      <c r="AC95" s="710"/>
      <c r="AD95" s="710"/>
      <c r="AE95" s="710"/>
      <c r="AF95" s="710"/>
      <c r="AG95" s="710"/>
      <c r="AH95" s="710"/>
      <c r="AI95" s="710"/>
      <c r="AJ95" s="710"/>
      <c r="AK95" s="710"/>
      <c r="AL95" s="710"/>
      <c r="AM95" s="710"/>
      <c r="AN95" s="710"/>
    </row>
    <row r="96" spans="1:40">
      <c r="A96" s="710"/>
      <c r="B96" s="710"/>
      <c r="C96" s="712"/>
      <c r="D96" s="712"/>
      <c r="E96" s="712"/>
      <c r="F96" s="712"/>
      <c r="G96" s="712"/>
      <c r="H96" s="712"/>
      <c r="I96" s="712"/>
      <c r="J96" s="710"/>
      <c r="K96" s="710"/>
      <c r="L96" s="710"/>
      <c r="M96" s="710"/>
      <c r="N96" s="710"/>
      <c r="O96" s="710"/>
      <c r="P96" s="710"/>
      <c r="Q96" s="710"/>
      <c r="R96" s="710"/>
      <c r="S96" s="710"/>
      <c r="T96" s="710"/>
      <c r="U96" s="710"/>
      <c r="V96" s="710"/>
      <c r="W96" s="712"/>
      <c r="X96" s="712"/>
      <c r="Y96" s="712"/>
      <c r="Z96" s="710"/>
      <c r="AA96" s="710"/>
      <c r="AB96" s="710"/>
      <c r="AC96" s="710"/>
      <c r="AD96" s="710"/>
      <c r="AE96" s="710"/>
      <c r="AF96" s="710"/>
      <c r="AG96" s="710"/>
      <c r="AH96" s="710"/>
      <c r="AI96" s="710"/>
      <c r="AJ96" s="710"/>
      <c r="AK96" s="710"/>
      <c r="AL96" s="710"/>
      <c r="AM96" s="710"/>
      <c r="AN96" s="710"/>
    </row>
    <row r="97" spans="1:40">
      <c r="A97" s="710"/>
      <c r="B97" s="710"/>
      <c r="C97" s="712"/>
      <c r="D97" s="712"/>
      <c r="E97" s="712"/>
      <c r="F97" s="712"/>
      <c r="G97" s="712"/>
      <c r="H97" s="712"/>
      <c r="I97" s="712"/>
      <c r="J97" s="710"/>
      <c r="K97" s="710"/>
      <c r="L97" s="710"/>
      <c r="M97" s="710"/>
      <c r="N97" s="710"/>
      <c r="O97" s="710"/>
      <c r="P97" s="710"/>
      <c r="Q97" s="710"/>
      <c r="R97" s="710"/>
      <c r="S97" s="710"/>
      <c r="T97" s="710"/>
      <c r="U97" s="710"/>
      <c r="V97" s="710"/>
      <c r="W97" s="712"/>
      <c r="X97" s="712"/>
      <c r="Y97" s="712"/>
      <c r="Z97" s="710"/>
      <c r="AA97" s="710"/>
      <c r="AB97" s="710"/>
      <c r="AC97" s="710"/>
      <c r="AD97" s="710"/>
      <c r="AE97" s="710"/>
      <c r="AF97" s="710"/>
      <c r="AG97" s="710"/>
      <c r="AH97" s="710"/>
      <c r="AI97" s="710"/>
      <c r="AJ97" s="710"/>
      <c r="AK97" s="710"/>
      <c r="AL97" s="710"/>
      <c r="AM97" s="710"/>
      <c r="AN97" s="710"/>
    </row>
    <row r="98" spans="1:40">
      <c r="A98" s="710"/>
      <c r="B98" s="710"/>
      <c r="C98" s="712"/>
      <c r="D98" s="712"/>
      <c r="E98" s="712"/>
      <c r="F98" s="712"/>
      <c r="G98" s="712"/>
      <c r="H98" s="712"/>
      <c r="I98" s="712"/>
      <c r="J98" s="710"/>
      <c r="K98" s="710"/>
      <c r="L98" s="710"/>
      <c r="M98" s="710"/>
      <c r="N98" s="710"/>
      <c r="O98" s="710"/>
      <c r="P98" s="710"/>
      <c r="Q98" s="710"/>
      <c r="R98" s="710"/>
      <c r="S98" s="710"/>
      <c r="T98" s="710"/>
      <c r="U98" s="710"/>
      <c r="V98" s="710"/>
      <c r="W98" s="712"/>
      <c r="X98" s="712"/>
      <c r="Y98" s="712"/>
      <c r="Z98" s="710"/>
      <c r="AA98" s="710"/>
      <c r="AB98" s="710"/>
      <c r="AC98" s="710"/>
      <c r="AD98" s="710"/>
      <c r="AE98" s="710"/>
      <c r="AF98" s="710"/>
      <c r="AG98" s="710"/>
      <c r="AH98" s="710"/>
      <c r="AI98" s="710"/>
      <c r="AJ98" s="710"/>
      <c r="AK98" s="710"/>
      <c r="AL98" s="710"/>
      <c r="AM98" s="710"/>
      <c r="AN98" s="710"/>
    </row>
    <row r="99" spans="1:40">
      <c r="A99" s="710"/>
      <c r="B99" s="710"/>
      <c r="C99" s="712"/>
      <c r="D99" s="712"/>
      <c r="E99" s="712"/>
      <c r="F99" s="712"/>
      <c r="G99" s="712"/>
      <c r="H99" s="712"/>
      <c r="I99" s="712"/>
      <c r="J99" s="710"/>
      <c r="K99" s="710"/>
      <c r="L99" s="710"/>
      <c r="M99" s="710"/>
      <c r="N99" s="710"/>
      <c r="O99" s="710"/>
      <c r="P99" s="710"/>
      <c r="Q99" s="710"/>
      <c r="R99" s="710"/>
      <c r="S99" s="710"/>
      <c r="T99" s="710"/>
      <c r="U99" s="710"/>
      <c r="V99" s="710"/>
      <c r="W99" s="712"/>
      <c r="X99" s="712"/>
      <c r="Y99" s="712"/>
      <c r="Z99" s="710"/>
      <c r="AA99" s="710"/>
      <c r="AB99" s="710"/>
      <c r="AC99" s="710"/>
      <c r="AD99" s="710"/>
      <c r="AE99" s="710"/>
      <c r="AF99" s="710"/>
      <c r="AG99" s="710"/>
      <c r="AH99" s="710"/>
      <c r="AI99" s="710"/>
      <c r="AJ99" s="710"/>
      <c r="AK99" s="710"/>
      <c r="AL99" s="710"/>
      <c r="AM99" s="710"/>
      <c r="AN99" s="710"/>
    </row>
    <row r="100" spans="1:40">
      <c r="A100" s="710"/>
      <c r="B100" s="710"/>
      <c r="C100" s="712"/>
      <c r="D100" s="712"/>
      <c r="E100" s="712"/>
      <c r="F100" s="712"/>
      <c r="G100" s="712"/>
      <c r="H100" s="712"/>
      <c r="I100" s="712"/>
      <c r="J100" s="710"/>
      <c r="K100" s="710"/>
      <c r="L100" s="710"/>
      <c r="M100" s="710"/>
      <c r="N100" s="710"/>
      <c r="O100" s="710"/>
      <c r="P100" s="710"/>
      <c r="Q100" s="710"/>
      <c r="R100" s="710"/>
      <c r="S100" s="710"/>
      <c r="T100" s="710"/>
      <c r="U100" s="710"/>
      <c r="V100" s="710"/>
      <c r="W100" s="712"/>
      <c r="X100" s="712"/>
      <c r="Y100" s="712"/>
      <c r="Z100" s="710"/>
      <c r="AA100" s="710"/>
      <c r="AB100" s="710"/>
      <c r="AC100" s="710"/>
      <c r="AD100" s="710"/>
      <c r="AE100" s="710"/>
      <c r="AF100" s="710"/>
      <c r="AG100" s="710"/>
      <c r="AH100" s="710"/>
      <c r="AI100" s="710"/>
      <c r="AJ100" s="710"/>
      <c r="AK100" s="710"/>
      <c r="AL100" s="710"/>
      <c r="AM100" s="710"/>
      <c r="AN100" s="710"/>
    </row>
    <row r="101" spans="1:40">
      <c r="A101" s="710"/>
      <c r="B101" s="710"/>
      <c r="C101" s="712"/>
      <c r="D101" s="712"/>
      <c r="E101" s="712"/>
      <c r="F101" s="712"/>
      <c r="G101" s="712"/>
      <c r="H101" s="712"/>
      <c r="I101" s="712"/>
      <c r="J101" s="710"/>
      <c r="K101" s="710"/>
      <c r="L101" s="710"/>
      <c r="M101" s="710"/>
      <c r="N101" s="710"/>
      <c r="O101" s="710"/>
      <c r="P101" s="710"/>
      <c r="Q101" s="710"/>
      <c r="R101" s="710"/>
      <c r="S101" s="710"/>
      <c r="T101" s="710"/>
      <c r="U101" s="710"/>
      <c r="V101" s="710"/>
      <c r="W101" s="712"/>
      <c r="X101" s="712"/>
      <c r="Y101" s="712"/>
      <c r="Z101" s="710"/>
      <c r="AA101" s="710"/>
      <c r="AB101" s="710"/>
      <c r="AC101" s="710"/>
      <c r="AD101" s="710"/>
      <c r="AE101" s="710"/>
      <c r="AF101" s="710"/>
      <c r="AG101" s="710"/>
      <c r="AH101" s="710"/>
      <c r="AI101" s="710"/>
      <c r="AJ101" s="710"/>
      <c r="AK101" s="710"/>
      <c r="AL101" s="710"/>
      <c r="AM101" s="710"/>
      <c r="AN101" s="710"/>
    </row>
    <row r="102" spans="1:40">
      <c r="A102" s="710"/>
      <c r="B102" s="710"/>
      <c r="C102" s="712"/>
      <c r="D102" s="712"/>
      <c r="E102" s="712"/>
      <c r="F102" s="712"/>
      <c r="G102" s="712"/>
      <c r="H102" s="712"/>
      <c r="I102" s="712"/>
      <c r="J102" s="710"/>
      <c r="K102" s="710"/>
      <c r="L102" s="710"/>
      <c r="M102" s="710"/>
      <c r="N102" s="710"/>
      <c r="O102" s="710"/>
      <c r="P102" s="710"/>
      <c r="Q102" s="710"/>
      <c r="R102" s="710"/>
      <c r="S102" s="710"/>
      <c r="T102" s="710"/>
      <c r="U102" s="710"/>
      <c r="V102" s="710"/>
      <c r="W102" s="712"/>
      <c r="X102" s="712"/>
      <c r="Y102" s="712"/>
      <c r="Z102" s="710"/>
      <c r="AA102" s="710"/>
      <c r="AB102" s="710"/>
      <c r="AC102" s="710"/>
      <c r="AD102" s="710"/>
      <c r="AE102" s="710"/>
      <c r="AF102" s="710"/>
      <c r="AG102" s="710"/>
      <c r="AH102" s="710"/>
      <c r="AI102" s="710"/>
      <c r="AJ102" s="710"/>
      <c r="AK102" s="710"/>
      <c r="AL102" s="710"/>
      <c r="AM102" s="710"/>
      <c r="AN102" s="710"/>
    </row>
    <row r="103" spans="1:40">
      <c r="A103" s="710"/>
      <c r="B103" s="710"/>
      <c r="C103" s="712"/>
      <c r="D103" s="712"/>
      <c r="E103" s="712"/>
      <c r="F103" s="712"/>
      <c r="G103" s="712"/>
      <c r="H103" s="712"/>
      <c r="I103" s="712"/>
      <c r="J103" s="710"/>
      <c r="K103" s="710"/>
      <c r="L103" s="710"/>
      <c r="M103" s="710"/>
      <c r="N103" s="710"/>
      <c r="O103" s="710"/>
      <c r="P103" s="710"/>
      <c r="Q103" s="710"/>
      <c r="R103" s="710"/>
      <c r="S103" s="710"/>
      <c r="T103" s="710"/>
      <c r="U103" s="710"/>
      <c r="V103" s="710"/>
      <c r="W103" s="712"/>
      <c r="X103" s="712"/>
      <c r="Y103" s="712"/>
      <c r="Z103" s="710"/>
      <c r="AA103" s="710"/>
      <c r="AB103" s="710"/>
      <c r="AC103" s="710"/>
      <c r="AD103" s="710"/>
      <c r="AE103" s="710"/>
      <c r="AF103" s="710"/>
      <c r="AG103" s="710"/>
      <c r="AH103" s="710"/>
      <c r="AI103" s="710"/>
      <c r="AJ103" s="710"/>
      <c r="AK103" s="710"/>
      <c r="AL103" s="710"/>
      <c r="AM103" s="710"/>
      <c r="AN103" s="710"/>
    </row>
    <row r="104" spans="1:40">
      <c r="A104" s="710"/>
      <c r="B104" s="710"/>
      <c r="C104" s="712"/>
      <c r="D104" s="712"/>
      <c r="E104" s="712"/>
      <c r="F104" s="712"/>
      <c r="G104" s="712"/>
      <c r="H104" s="712"/>
      <c r="I104" s="712"/>
      <c r="J104" s="710"/>
      <c r="K104" s="710"/>
      <c r="L104" s="710"/>
      <c r="M104" s="710"/>
      <c r="N104" s="710"/>
      <c r="O104" s="710"/>
      <c r="P104" s="710"/>
      <c r="Q104" s="710"/>
      <c r="R104" s="710"/>
      <c r="S104" s="710"/>
      <c r="T104" s="710"/>
      <c r="U104" s="710"/>
      <c r="V104" s="710"/>
      <c r="W104" s="712"/>
      <c r="X104" s="712"/>
      <c r="Y104" s="712"/>
      <c r="Z104" s="710"/>
      <c r="AA104" s="710"/>
      <c r="AB104" s="710"/>
      <c r="AC104" s="710"/>
      <c r="AD104" s="710"/>
      <c r="AE104" s="710"/>
      <c r="AF104" s="710"/>
      <c r="AG104" s="710"/>
      <c r="AH104" s="710"/>
      <c r="AI104" s="710"/>
      <c r="AJ104" s="710"/>
      <c r="AK104" s="710"/>
      <c r="AL104" s="710"/>
      <c r="AM104" s="710"/>
      <c r="AN104" s="710"/>
    </row>
    <row r="105" spans="1:40">
      <c r="A105" s="710"/>
      <c r="B105" s="710"/>
      <c r="C105" s="712"/>
      <c r="D105" s="712"/>
      <c r="E105" s="712"/>
      <c r="F105" s="712"/>
      <c r="G105" s="712"/>
      <c r="H105" s="712"/>
      <c r="I105" s="712"/>
      <c r="J105" s="710"/>
      <c r="K105" s="710"/>
      <c r="L105" s="710"/>
      <c r="M105" s="710"/>
      <c r="N105" s="710"/>
      <c r="O105" s="710"/>
      <c r="P105" s="710"/>
      <c r="Q105" s="710"/>
      <c r="R105" s="710"/>
      <c r="S105" s="710"/>
      <c r="T105" s="710"/>
      <c r="U105" s="710"/>
      <c r="V105" s="710"/>
      <c r="W105" s="712"/>
      <c r="X105" s="712"/>
      <c r="Y105" s="712"/>
      <c r="Z105" s="710"/>
      <c r="AA105" s="710"/>
      <c r="AB105" s="710"/>
      <c r="AC105" s="710"/>
      <c r="AD105" s="710"/>
      <c r="AE105" s="710"/>
      <c r="AF105" s="710"/>
      <c r="AG105" s="710"/>
      <c r="AH105" s="710"/>
      <c r="AI105" s="710"/>
      <c r="AJ105" s="710"/>
      <c r="AK105" s="710"/>
      <c r="AL105" s="710"/>
      <c r="AM105" s="710"/>
      <c r="AN105" s="710"/>
    </row>
    <row r="106" spans="1:40">
      <c r="A106" s="710"/>
      <c r="B106" s="710"/>
      <c r="C106" s="712"/>
      <c r="D106" s="712"/>
      <c r="E106" s="712"/>
      <c r="F106" s="712"/>
      <c r="G106" s="712"/>
      <c r="H106" s="712"/>
      <c r="I106" s="712"/>
      <c r="J106" s="710"/>
      <c r="K106" s="710"/>
      <c r="L106" s="710"/>
      <c r="M106" s="710"/>
      <c r="N106" s="710"/>
      <c r="O106" s="710"/>
      <c r="P106" s="710"/>
      <c r="Q106" s="710"/>
      <c r="R106" s="710"/>
      <c r="S106" s="710"/>
      <c r="T106" s="710"/>
      <c r="U106" s="710"/>
      <c r="V106" s="710"/>
      <c r="W106" s="712"/>
      <c r="X106" s="712"/>
      <c r="Y106" s="712"/>
      <c r="Z106" s="710"/>
      <c r="AA106" s="710"/>
      <c r="AB106" s="710"/>
      <c r="AC106" s="710"/>
      <c r="AD106" s="710"/>
      <c r="AE106" s="710"/>
      <c r="AF106" s="710"/>
      <c r="AG106" s="710"/>
      <c r="AH106" s="710"/>
      <c r="AI106" s="710"/>
      <c r="AJ106" s="710"/>
      <c r="AK106" s="710"/>
      <c r="AL106" s="710"/>
      <c r="AM106" s="710"/>
      <c r="AN106" s="710"/>
    </row>
    <row r="107" spans="1:40">
      <c r="A107" s="710"/>
      <c r="B107" s="710"/>
      <c r="C107" s="712"/>
      <c r="D107" s="712"/>
      <c r="E107" s="712"/>
      <c r="F107" s="712"/>
      <c r="G107" s="712"/>
      <c r="H107" s="712"/>
      <c r="I107" s="712"/>
      <c r="J107" s="710"/>
      <c r="K107" s="710"/>
      <c r="L107" s="710"/>
      <c r="M107" s="710"/>
      <c r="N107" s="710"/>
      <c r="O107" s="710"/>
      <c r="P107" s="710"/>
      <c r="Q107" s="710"/>
      <c r="R107" s="710"/>
      <c r="S107" s="710"/>
      <c r="T107" s="710"/>
      <c r="U107" s="710"/>
      <c r="V107" s="710"/>
      <c r="W107" s="712"/>
      <c r="X107" s="712"/>
      <c r="Y107" s="712"/>
      <c r="Z107" s="710"/>
      <c r="AA107" s="710"/>
      <c r="AB107" s="710"/>
      <c r="AC107" s="710"/>
      <c r="AD107" s="710"/>
      <c r="AE107" s="710"/>
      <c r="AF107" s="710"/>
      <c r="AG107" s="710"/>
      <c r="AH107" s="710"/>
      <c r="AI107" s="710"/>
      <c r="AJ107" s="710"/>
      <c r="AK107" s="710"/>
      <c r="AL107" s="710"/>
      <c r="AM107" s="710"/>
      <c r="AN107" s="710"/>
    </row>
    <row r="108" spans="1:40">
      <c r="A108" s="710"/>
      <c r="B108" s="710"/>
      <c r="C108" s="712"/>
      <c r="D108" s="712"/>
      <c r="E108" s="712"/>
      <c r="F108" s="712"/>
      <c r="G108" s="712"/>
      <c r="H108" s="712"/>
      <c r="I108" s="712"/>
      <c r="J108" s="710"/>
      <c r="K108" s="710"/>
      <c r="L108" s="710"/>
      <c r="M108" s="710"/>
      <c r="N108" s="710"/>
      <c r="O108" s="710"/>
      <c r="P108" s="710"/>
      <c r="Q108" s="710"/>
      <c r="R108" s="710"/>
      <c r="S108" s="710"/>
      <c r="T108" s="710"/>
      <c r="U108" s="710"/>
      <c r="V108" s="710"/>
      <c r="W108" s="712"/>
      <c r="X108" s="712"/>
      <c r="Y108" s="712"/>
      <c r="Z108" s="710"/>
      <c r="AA108" s="710"/>
      <c r="AB108" s="710"/>
      <c r="AC108" s="710"/>
      <c r="AD108" s="710"/>
      <c r="AE108" s="710"/>
      <c r="AF108" s="710"/>
      <c r="AG108" s="710"/>
      <c r="AH108" s="710"/>
      <c r="AI108" s="710"/>
      <c r="AJ108" s="710"/>
      <c r="AK108" s="710"/>
      <c r="AL108" s="710"/>
      <c r="AM108" s="710"/>
      <c r="AN108" s="710"/>
    </row>
    <row r="109" spans="1:40">
      <c r="A109" s="710"/>
      <c r="B109" s="710"/>
      <c r="C109" s="712"/>
      <c r="D109" s="712"/>
      <c r="E109" s="712"/>
      <c r="F109" s="712"/>
      <c r="G109" s="712"/>
      <c r="H109" s="712"/>
      <c r="I109" s="712"/>
      <c r="J109" s="710"/>
      <c r="K109" s="710"/>
      <c r="L109" s="710"/>
      <c r="M109" s="710"/>
      <c r="N109" s="710"/>
      <c r="O109" s="710"/>
      <c r="P109" s="710"/>
      <c r="Q109" s="710"/>
      <c r="R109" s="710"/>
      <c r="S109" s="710"/>
      <c r="T109" s="710"/>
      <c r="U109" s="710"/>
      <c r="V109" s="710"/>
      <c r="W109" s="712"/>
      <c r="X109" s="712"/>
      <c r="Y109" s="712"/>
      <c r="Z109" s="710"/>
      <c r="AA109" s="710"/>
      <c r="AB109" s="710"/>
      <c r="AC109" s="710"/>
      <c r="AD109" s="710"/>
      <c r="AE109" s="710"/>
      <c r="AF109" s="710"/>
      <c r="AG109" s="710"/>
      <c r="AH109" s="710"/>
      <c r="AI109" s="710"/>
      <c r="AJ109" s="710"/>
      <c r="AK109" s="710"/>
      <c r="AL109" s="710"/>
      <c r="AM109" s="710"/>
      <c r="AN109" s="710"/>
    </row>
    <row r="110" spans="1:40">
      <c r="A110" s="710"/>
      <c r="B110" s="710"/>
      <c r="C110" s="712"/>
      <c r="D110" s="712"/>
      <c r="E110" s="712"/>
      <c r="F110" s="712"/>
      <c r="G110" s="712"/>
      <c r="H110" s="712"/>
      <c r="I110" s="712"/>
      <c r="J110" s="710"/>
      <c r="K110" s="710"/>
      <c r="L110" s="710"/>
      <c r="M110" s="710"/>
      <c r="N110" s="710"/>
      <c r="O110" s="710"/>
      <c r="P110" s="710"/>
      <c r="Q110" s="710"/>
      <c r="R110" s="710"/>
      <c r="S110" s="710"/>
      <c r="T110" s="710"/>
      <c r="U110" s="710"/>
      <c r="V110" s="710"/>
      <c r="W110" s="712"/>
      <c r="X110" s="712"/>
      <c r="Y110" s="712"/>
      <c r="Z110" s="710"/>
      <c r="AA110" s="710"/>
      <c r="AB110" s="710"/>
      <c r="AC110" s="710"/>
      <c r="AD110" s="710"/>
      <c r="AE110" s="710"/>
      <c r="AF110" s="710"/>
      <c r="AG110" s="710"/>
      <c r="AH110" s="710"/>
      <c r="AI110" s="710"/>
      <c r="AJ110" s="710"/>
      <c r="AK110" s="710"/>
      <c r="AL110" s="710"/>
      <c r="AM110" s="710"/>
      <c r="AN110" s="710"/>
    </row>
    <row r="111" spans="1:40">
      <c r="A111" s="710"/>
      <c r="B111" s="710"/>
      <c r="C111" s="712"/>
      <c r="D111" s="712"/>
      <c r="E111" s="712"/>
      <c r="F111" s="712"/>
      <c r="G111" s="712"/>
      <c r="H111" s="712"/>
      <c r="I111" s="712"/>
      <c r="J111" s="710"/>
      <c r="K111" s="710"/>
      <c r="L111" s="710"/>
      <c r="M111" s="710"/>
      <c r="N111" s="710"/>
      <c r="O111" s="710"/>
      <c r="P111" s="710"/>
      <c r="Q111" s="710"/>
      <c r="R111" s="710"/>
      <c r="S111" s="710"/>
      <c r="T111" s="710"/>
      <c r="U111" s="710"/>
      <c r="V111" s="710"/>
      <c r="W111" s="712"/>
      <c r="X111" s="712"/>
      <c r="Y111" s="712"/>
      <c r="Z111" s="710"/>
      <c r="AA111" s="710"/>
      <c r="AB111" s="710"/>
      <c r="AC111" s="710"/>
      <c r="AD111" s="710"/>
      <c r="AE111" s="710"/>
      <c r="AF111" s="710"/>
      <c r="AG111" s="710"/>
      <c r="AH111" s="710"/>
      <c r="AI111" s="710"/>
      <c r="AJ111" s="710"/>
      <c r="AK111" s="710"/>
      <c r="AL111" s="710"/>
      <c r="AM111" s="710"/>
      <c r="AN111" s="710"/>
    </row>
    <row r="112" spans="1:40">
      <c r="A112" s="710"/>
      <c r="B112" s="710"/>
      <c r="C112" s="712"/>
      <c r="D112" s="712"/>
      <c r="E112" s="712"/>
      <c r="F112" s="712"/>
      <c r="G112" s="712"/>
      <c r="H112" s="712"/>
      <c r="I112" s="712"/>
      <c r="J112" s="710"/>
      <c r="K112" s="710"/>
      <c r="L112" s="710"/>
      <c r="M112" s="710"/>
      <c r="N112" s="710"/>
      <c r="O112" s="710"/>
      <c r="P112" s="710"/>
      <c r="Q112" s="710"/>
      <c r="R112" s="710"/>
      <c r="S112" s="710"/>
      <c r="T112" s="710"/>
      <c r="U112" s="710"/>
      <c r="V112" s="710"/>
      <c r="W112" s="712"/>
      <c r="X112" s="712"/>
      <c r="Y112" s="712"/>
      <c r="Z112" s="710"/>
      <c r="AA112" s="710"/>
      <c r="AB112" s="710"/>
      <c r="AC112" s="710"/>
      <c r="AD112" s="710"/>
      <c r="AE112" s="710"/>
      <c r="AF112" s="710"/>
      <c r="AG112" s="710"/>
      <c r="AH112" s="710"/>
      <c r="AI112" s="710"/>
      <c r="AJ112" s="710"/>
      <c r="AK112" s="710"/>
      <c r="AL112" s="710"/>
      <c r="AM112" s="710"/>
      <c r="AN112" s="710"/>
    </row>
    <row r="113" spans="1:40">
      <c r="A113" s="710"/>
      <c r="B113" s="710"/>
      <c r="C113" s="712"/>
      <c r="D113" s="712"/>
      <c r="E113" s="712"/>
      <c r="F113" s="712"/>
      <c r="G113" s="712"/>
      <c r="H113" s="712"/>
      <c r="I113" s="712"/>
      <c r="J113" s="710"/>
      <c r="K113" s="710"/>
      <c r="L113" s="710"/>
      <c r="M113" s="710"/>
      <c r="N113" s="710"/>
      <c r="O113" s="710"/>
      <c r="P113" s="710"/>
      <c r="Q113" s="710"/>
      <c r="R113" s="710"/>
      <c r="S113" s="710"/>
      <c r="T113" s="710"/>
      <c r="U113" s="710"/>
      <c r="V113" s="710"/>
      <c r="W113" s="712"/>
      <c r="X113" s="712"/>
      <c r="Y113" s="712"/>
      <c r="Z113" s="710"/>
      <c r="AA113" s="710"/>
      <c r="AB113" s="710"/>
      <c r="AC113" s="710"/>
      <c r="AD113" s="710"/>
      <c r="AE113" s="710"/>
      <c r="AF113" s="710"/>
      <c r="AG113" s="710"/>
      <c r="AH113" s="710"/>
      <c r="AI113" s="710"/>
      <c r="AJ113" s="710"/>
      <c r="AK113" s="710"/>
      <c r="AL113" s="710"/>
      <c r="AM113" s="710"/>
      <c r="AN113" s="710"/>
    </row>
    <row r="114" spans="1:40">
      <c r="A114" s="710"/>
      <c r="B114" s="710"/>
      <c r="C114" s="712"/>
      <c r="D114" s="712"/>
      <c r="E114" s="712"/>
      <c r="F114" s="712"/>
      <c r="G114" s="712"/>
      <c r="H114" s="712"/>
      <c r="I114" s="712"/>
      <c r="J114" s="710"/>
      <c r="K114" s="710"/>
      <c r="L114" s="710"/>
      <c r="M114" s="710"/>
      <c r="N114" s="710"/>
      <c r="O114" s="710"/>
      <c r="P114" s="710"/>
      <c r="Q114" s="710"/>
      <c r="R114" s="710"/>
      <c r="S114" s="710"/>
      <c r="T114" s="710"/>
      <c r="U114" s="710"/>
      <c r="V114" s="710"/>
      <c r="W114" s="712"/>
      <c r="X114" s="712"/>
      <c r="Y114" s="712"/>
      <c r="Z114" s="710"/>
      <c r="AA114" s="710"/>
      <c r="AB114" s="710"/>
      <c r="AC114" s="710"/>
      <c r="AD114" s="710"/>
      <c r="AE114" s="710"/>
      <c r="AF114" s="710"/>
      <c r="AG114" s="710"/>
      <c r="AH114" s="710"/>
      <c r="AI114" s="710"/>
      <c r="AJ114" s="710"/>
      <c r="AK114" s="710"/>
      <c r="AL114" s="710"/>
      <c r="AM114" s="710"/>
      <c r="AN114" s="710"/>
    </row>
    <row r="115" spans="1:40">
      <c r="A115" s="710"/>
      <c r="B115" s="710"/>
      <c r="C115" s="712"/>
      <c r="D115" s="712"/>
      <c r="E115" s="712"/>
      <c r="F115" s="712"/>
      <c r="G115" s="712"/>
      <c r="H115" s="712"/>
      <c r="I115" s="712"/>
      <c r="J115" s="710"/>
      <c r="K115" s="710"/>
      <c r="L115" s="710"/>
      <c r="M115" s="710"/>
      <c r="N115" s="710"/>
      <c r="O115" s="710"/>
      <c r="P115" s="710"/>
      <c r="Q115" s="710"/>
      <c r="R115" s="710"/>
      <c r="S115" s="710"/>
      <c r="T115" s="710"/>
      <c r="U115" s="710"/>
      <c r="V115" s="710"/>
      <c r="W115" s="712"/>
      <c r="X115" s="712"/>
      <c r="Y115" s="712"/>
      <c r="Z115" s="710"/>
      <c r="AA115" s="710"/>
      <c r="AB115" s="710"/>
      <c r="AC115" s="710"/>
      <c r="AD115" s="710"/>
      <c r="AE115" s="710"/>
      <c r="AF115" s="710"/>
      <c r="AG115" s="710"/>
      <c r="AH115" s="710"/>
      <c r="AI115" s="710"/>
      <c r="AJ115" s="710"/>
      <c r="AK115" s="710"/>
      <c r="AL115" s="710"/>
      <c r="AM115" s="710"/>
      <c r="AN115" s="710"/>
    </row>
    <row r="116" spans="1:40">
      <c r="A116" s="710"/>
      <c r="B116" s="710"/>
      <c r="C116" s="712"/>
      <c r="D116" s="712"/>
      <c r="E116" s="712"/>
      <c r="F116" s="712"/>
      <c r="G116" s="712"/>
      <c r="H116" s="712"/>
      <c r="I116" s="712"/>
      <c r="J116" s="710"/>
      <c r="K116" s="710"/>
      <c r="L116" s="710"/>
      <c r="M116" s="710"/>
      <c r="N116" s="710"/>
      <c r="O116" s="710"/>
      <c r="P116" s="710"/>
      <c r="Q116" s="710"/>
      <c r="R116" s="710"/>
      <c r="S116" s="710"/>
      <c r="T116" s="710"/>
      <c r="U116" s="710"/>
      <c r="V116" s="710"/>
      <c r="W116" s="712"/>
      <c r="X116" s="712"/>
      <c r="Y116" s="712"/>
      <c r="Z116" s="710"/>
      <c r="AA116" s="710"/>
      <c r="AB116" s="710"/>
      <c r="AC116" s="710"/>
      <c r="AD116" s="710"/>
      <c r="AE116" s="710"/>
      <c r="AF116" s="710"/>
      <c r="AG116" s="710"/>
      <c r="AH116" s="710"/>
      <c r="AI116" s="710"/>
      <c r="AJ116" s="710"/>
      <c r="AK116" s="710"/>
      <c r="AL116" s="710"/>
      <c r="AM116" s="710"/>
      <c r="AN116" s="710"/>
    </row>
    <row r="117" spans="1:40">
      <c r="A117" s="710"/>
      <c r="B117" s="710"/>
      <c r="C117" s="712"/>
      <c r="D117" s="712"/>
      <c r="E117" s="712"/>
      <c r="F117" s="712"/>
      <c r="G117" s="712"/>
      <c r="H117" s="712"/>
      <c r="I117" s="712"/>
      <c r="J117" s="710"/>
      <c r="K117" s="710"/>
      <c r="L117" s="710"/>
      <c r="M117" s="710"/>
      <c r="N117" s="710"/>
      <c r="O117" s="710"/>
      <c r="P117" s="710"/>
      <c r="Q117" s="710"/>
      <c r="R117" s="710"/>
      <c r="S117" s="710"/>
      <c r="T117" s="710"/>
      <c r="U117" s="710"/>
      <c r="V117" s="710"/>
      <c r="W117" s="712"/>
      <c r="X117" s="712"/>
      <c r="Y117" s="712"/>
      <c r="Z117" s="710"/>
      <c r="AA117" s="710"/>
      <c r="AB117" s="710"/>
      <c r="AC117" s="710"/>
      <c r="AD117" s="710"/>
      <c r="AE117" s="710"/>
      <c r="AF117" s="710"/>
      <c r="AG117" s="710"/>
      <c r="AH117" s="710"/>
      <c r="AI117" s="710"/>
      <c r="AJ117" s="710"/>
      <c r="AK117" s="710"/>
      <c r="AL117" s="710"/>
      <c r="AM117" s="710"/>
      <c r="AN117" s="710"/>
    </row>
    <row r="118" spans="1:40">
      <c r="A118" s="710"/>
      <c r="B118" s="710"/>
      <c r="C118" s="712"/>
      <c r="D118" s="712"/>
      <c r="E118" s="712"/>
      <c r="F118" s="712"/>
      <c r="G118" s="712"/>
      <c r="H118" s="712"/>
      <c r="I118" s="712"/>
      <c r="J118" s="710"/>
      <c r="K118" s="710"/>
      <c r="L118" s="710"/>
      <c r="M118" s="710"/>
      <c r="N118" s="710"/>
      <c r="O118" s="710"/>
      <c r="P118" s="710"/>
      <c r="Q118" s="710"/>
      <c r="R118" s="710"/>
      <c r="S118" s="710"/>
      <c r="T118" s="710"/>
      <c r="U118" s="710"/>
      <c r="V118" s="710"/>
      <c r="W118" s="712"/>
      <c r="X118" s="712"/>
      <c r="Y118" s="712"/>
      <c r="Z118" s="710"/>
      <c r="AA118" s="710"/>
      <c r="AB118" s="710"/>
      <c r="AC118" s="710"/>
      <c r="AD118" s="710"/>
      <c r="AE118" s="710"/>
      <c r="AF118" s="710"/>
      <c r="AG118" s="710"/>
      <c r="AH118" s="710"/>
      <c r="AI118" s="710"/>
      <c r="AJ118" s="710"/>
      <c r="AK118" s="710"/>
      <c r="AL118" s="710"/>
      <c r="AM118" s="710"/>
      <c r="AN118" s="710"/>
    </row>
    <row r="119" spans="1:40">
      <c r="A119" s="710"/>
      <c r="B119" s="710"/>
      <c r="C119" s="712"/>
      <c r="D119" s="712"/>
      <c r="E119" s="712"/>
      <c r="F119" s="712"/>
      <c r="G119" s="712"/>
      <c r="H119" s="712"/>
      <c r="I119" s="712"/>
      <c r="J119" s="710"/>
      <c r="K119" s="710"/>
      <c r="L119" s="710"/>
      <c r="M119" s="710"/>
      <c r="N119" s="710"/>
      <c r="O119" s="710"/>
      <c r="P119" s="710"/>
      <c r="Q119" s="710"/>
      <c r="R119" s="710"/>
      <c r="S119" s="710"/>
      <c r="T119" s="710"/>
      <c r="U119" s="710"/>
      <c r="V119" s="710"/>
      <c r="W119" s="712"/>
      <c r="X119" s="712"/>
      <c r="Y119" s="712"/>
      <c r="Z119" s="710"/>
      <c r="AA119" s="710"/>
      <c r="AB119" s="710"/>
      <c r="AC119" s="710"/>
      <c r="AD119" s="710"/>
      <c r="AE119" s="710"/>
      <c r="AF119" s="710"/>
      <c r="AG119" s="710"/>
      <c r="AH119" s="710"/>
      <c r="AI119" s="710"/>
      <c r="AJ119" s="710"/>
      <c r="AK119" s="710"/>
      <c r="AL119" s="710"/>
      <c r="AM119" s="710"/>
      <c r="AN119" s="710"/>
    </row>
    <row r="120" spans="1:40">
      <c r="A120" s="710"/>
      <c r="B120" s="710"/>
      <c r="C120" s="712"/>
      <c r="D120" s="712"/>
      <c r="E120" s="712"/>
      <c r="F120" s="712"/>
      <c r="G120" s="712"/>
      <c r="H120" s="712"/>
      <c r="I120" s="712"/>
      <c r="J120" s="710"/>
      <c r="K120" s="710"/>
      <c r="L120" s="710"/>
      <c r="M120" s="710"/>
      <c r="N120" s="710"/>
      <c r="O120" s="710"/>
      <c r="P120" s="710"/>
      <c r="Q120" s="710"/>
      <c r="R120" s="710"/>
      <c r="S120" s="710"/>
      <c r="T120" s="710"/>
      <c r="U120" s="710"/>
      <c r="V120" s="710"/>
      <c r="W120" s="712"/>
      <c r="X120" s="712"/>
      <c r="Y120" s="712"/>
      <c r="Z120" s="710"/>
      <c r="AA120" s="710"/>
      <c r="AB120" s="710"/>
      <c r="AC120" s="710"/>
      <c r="AD120" s="710"/>
      <c r="AE120" s="710"/>
      <c r="AF120" s="710"/>
      <c r="AG120" s="710"/>
      <c r="AH120" s="710"/>
      <c r="AI120" s="710"/>
      <c r="AJ120" s="710"/>
      <c r="AK120" s="710"/>
      <c r="AL120" s="710"/>
      <c r="AM120" s="710"/>
      <c r="AN120" s="710"/>
    </row>
    <row r="121" spans="1:40">
      <c r="A121" s="710"/>
      <c r="B121" s="710"/>
      <c r="C121" s="712"/>
      <c r="D121" s="712"/>
      <c r="E121" s="712"/>
      <c r="F121" s="712"/>
      <c r="G121" s="712"/>
      <c r="H121" s="712"/>
      <c r="I121" s="712"/>
      <c r="J121" s="710"/>
      <c r="K121" s="710"/>
      <c r="L121" s="710"/>
      <c r="M121" s="710"/>
      <c r="N121" s="710"/>
      <c r="O121" s="710"/>
      <c r="P121" s="710"/>
      <c r="Q121" s="710"/>
      <c r="R121" s="710"/>
      <c r="S121" s="710"/>
      <c r="T121" s="710"/>
      <c r="U121" s="710"/>
      <c r="V121" s="710"/>
      <c r="W121" s="712"/>
      <c r="X121" s="712"/>
      <c r="Y121" s="712"/>
      <c r="Z121" s="710"/>
      <c r="AA121" s="710"/>
      <c r="AB121" s="710"/>
      <c r="AC121" s="710"/>
      <c r="AD121" s="710"/>
      <c r="AE121" s="710"/>
      <c r="AF121" s="710"/>
      <c r="AG121" s="710"/>
      <c r="AH121" s="710"/>
      <c r="AI121" s="710"/>
      <c r="AJ121" s="710"/>
      <c r="AK121" s="710"/>
      <c r="AL121" s="710"/>
      <c r="AM121" s="710"/>
      <c r="AN121" s="710"/>
    </row>
    <row r="122" spans="1:40">
      <c r="A122" s="710"/>
      <c r="B122" s="710"/>
      <c r="C122" s="712"/>
      <c r="D122" s="712"/>
      <c r="E122" s="712"/>
      <c r="F122" s="712"/>
      <c r="G122" s="712"/>
      <c r="H122" s="712"/>
      <c r="I122" s="712"/>
      <c r="J122" s="710"/>
      <c r="K122" s="710"/>
      <c r="L122" s="710"/>
      <c r="M122" s="710"/>
      <c r="N122" s="710"/>
      <c r="O122" s="710"/>
      <c r="P122" s="710"/>
      <c r="Q122" s="710"/>
      <c r="R122" s="710"/>
      <c r="S122" s="710"/>
      <c r="T122" s="710"/>
      <c r="U122" s="710"/>
      <c r="V122" s="710"/>
      <c r="W122" s="712"/>
      <c r="X122" s="712"/>
      <c r="Y122" s="712"/>
      <c r="Z122" s="710"/>
      <c r="AA122" s="710"/>
      <c r="AB122" s="710"/>
      <c r="AC122" s="710"/>
      <c r="AD122" s="710"/>
      <c r="AE122" s="710"/>
      <c r="AF122" s="710"/>
      <c r="AG122" s="710"/>
      <c r="AH122" s="710"/>
      <c r="AI122" s="710"/>
      <c r="AJ122" s="710"/>
      <c r="AK122" s="710"/>
      <c r="AL122" s="710"/>
      <c r="AM122" s="710"/>
      <c r="AN122" s="710"/>
    </row>
    <row r="123" spans="1:40">
      <c r="A123" s="710"/>
      <c r="B123" s="710"/>
      <c r="C123" s="712"/>
      <c r="D123" s="712"/>
      <c r="E123" s="712"/>
      <c r="F123" s="712"/>
      <c r="G123" s="712"/>
      <c r="H123" s="712"/>
      <c r="I123" s="712"/>
      <c r="J123" s="710"/>
      <c r="K123" s="710"/>
      <c r="L123" s="710"/>
      <c r="M123" s="710"/>
      <c r="N123" s="710"/>
      <c r="O123" s="710"/>
      <c r="P123" s="710"/>
      <c r="Q123" s="710"/>
      <c r="R123" s="710"/>
      <c r="S123" s="710"/>
      <c r="T123" s="710"/>
      <c r="U123" s="710"/>
      <c r="V123" s="710"/>
      <c r="W123" s="712"/>
      <c r="X123" s="712"/>
      <c r="Y123" s="712"/>
      <c r="Z123" s="710"/>
      <c r="AA123" s="710"/>
      <c r="AB123" s="710"/>
      <c r="AC123" s="710"/>
      <c r="AD123" s="710"/>
      <c r="AE123" s="710"/>
      <c r="AF123" s="710"/>
      <c r="AG123" s="710"/>
      <c r="AH123" s="710"/>
      <c r="AI123" s="710"/>
      <c r="AJ123" s="710"/>
      <c r="AK123" s="710"/>
      <c r="AL123" s="710"/>
      <c r="AM123" s="710"/>
      <c r="AN123" s="710"/>
    </row>
    <row r="124" spans="1:40">
      <c r="A124" s="710"/>
      <c r="B124" s="710"/>
      <c r="C124" s="712"/>
      <c r="D124" s="712"/>
      <c r="E124" s="712"/>
      <c r="F124" s="712"/>
      <c r="G124" s="712"/>
      <c r="H124" s="712"/>
      <c r="I124" s="712"/>
      <c r="J124" s="710"/>
      <c r="K124" s="710"/>
      <c r="L124" s="710"/>
      <c r="M124" s="710"/>
      <c r="N124" s="710"/>
      <c r="O124" s="710"/>
      <c r="P124" s="710"/>
      <c r="Q124" s="710"/>
      <c r="R124" s="710"/>
      <c r="S124" s="710"/>
      <c r="T124" s="710"/>
      <c r="U124" s="710"/>
      <c r="V124" s="710"/>
      <c r="W124" s="712"/>
      <c r="X124" s="712"/>
      <c r="Y124" s="712"/>
      <c r="Z124" s="710"/>
      <c r="AA124" s="710"/>
      <c r="AB124" s="710"/>
      <c r="AC124" s="710"/>
      <c r="AD124" s="710"/>
      <c r="AE124" s="710"/>
      <c r="AF124" s="710"/>
      <c r="AG124" s="710"/>
      <c r="AH124" s="710"/>
      <c r="AI124" s="710"/>
      <c r="AJ124" s="710"/>
      <c r="AK124" s="710"/>
      <c r="AL124" s="710"/>
      <c r="AM124" s="710"/>
      <c r="AN124" s="710"/>
    </row>
    <row r="125" spans="1:40">
      <c r="A125" s="710"/>
      <c r="B125" s="710"/>
      <c r="C125" s="712"/>
      <c r="D125" s="712"/>
      <c r="E125" s="712"/>
      <c r="F125" s="712"/>
      <c r="G125" s="712"/>
      <c r="H125" s="712"/>
      <c r="I125" s="712"/>
      <c r="J125" s="710"/>
      <c r="K125" s="710"/>
      <c r="L125" s="710"/>
      <c r="M125" s="710"/>
      <c r="N125" s="710"/>
      <c r="O125" s="710"/>
      <c r="P125" s="710"/>
      <c r="Q125" s="710"/>
      <c r="R125" s="710"/>
      <c r="S125" s="710"/>
      <c r="T125" s="710"/>
      <c r="U125" s="710"/>
      <c r="V125" s="710"/>
      <c r="W125" s="712"/>
      <c r="X125" s="712"/>
      <c r="Y125" s="712"/>
      <c r="Z125" s="710"/>
      <c r="AA125" s="710"/>
      <c r="AB125" s="710"/>
      <c r="AC125" s="710"/>
      <c r="AD125" s="710"/>
      <c r="AE125" s="710"/>
      <c r="AF125" s="710"/>
      <c r="AG125" s="710"/>
      <c r="AH125" s="710"/>
      <c r="AI125" s="710"/>
      <c r="AJ125" s="710"/>
      <c r="AK125" s="710"/>
      <c r="AL125" s="710"/>
      <c r="AM125" s="710"/>
      <c r="AN125" s="710"/>
    </row>
  </sheetData>
  <mergeCells count="23">
    <mergeCell ref="A38:B39"/>
    <mergeCell ref="A40:B41"/>
    <mergeCell ref="A42:B42"/>
    <mergeCell ref="A29:A30"/>
    <mergeCell ref="B29:B30"/>
    <mergeCell ref="A27:A28"/>
    <mergeCell ref="B27:B28"/>
    <mergeCell ref="A34:B35"/>
    <mergeCell ref="A36:B37"/>
    <mergeCell ref="R3:V3"/>
    <mergeCell ref="A4:A5"/>
    <mergeCell ref="A31:A32"/>
    <mergeCell ref="B31:B32"/>
    <mergeCell ref="W3:Y3"/>
    <mergeCell ref="B10:G11"/>
    <mergeCell ref="B16:G18"/>
    <mergeCell ref="B19:G21"/>
    <mergeCell ref="D3:F3"/>
    <mergeCell ref="G3:I3"/>
    <mergeCell ref="J3:M3"/>
    <mergeCell ref="N3:Q3"/>
    <mergeCell ref="B4:B5"/>
    <mergeCell ref="C4:C5"/>
  </mergeCells>
  <pageMargins left="0.7" right="0.7" top="0.75" bottom="0.75" header="0.3" footer="0.3"/>
  <pageSetup orientation="portrait" horizontalDpi="4294967293"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43</vt:i4>
      </vt:variant>
    </vt:vector>
  </HeadingPairs>
  <TitlesOfParts>
    <vt:vector size="52" baseType="lpstr">
      <vt:lpstr>Directions</vt:lpstr>
      <vt:lpstr>1-Cover</vt:lpstr>
      <vt:lpstr>2-Constants</vt:lpstr>
      <vt:lpstr>3-H&amp;H</vt:lpstr>
      <vt:lpstr>4-Soil</vt:lpstr>
      <vt:lpstr>5-Wood</vt:lpstr>
      <vt:lpstr>6-Single Log Design</vt:lpstr>
      <vt:lpstr>7-Notation</vt:lpstr>
      <vt:lpstr>Anchors</vt:lpstr>
      <vt:lpstr>AnchorRatings</vt:lpstr>
      <vt:lpstr>CDrock</vt:lpstr>
      <vt:lpstr>CLrock</vt:lpstr>
      <vt:lpstr>DFRW</vt:lpstr>
      <vt:lpstr>DUWRock</vt:lpstr>
      <vt:lpstr>g</vt:lpstr>
      <vt:lpstr>GPTrees</vt:lpstr>
      <vt:lpstr>GPTreesTable</vt:lpstr>
      <vt:lpstr>kv</vt:lpstr>
      <vt:lpstr>LFRW</vt:lpstr>
      <vt:lpstr>MATrees</vt:lpstr>
      <vt:lpstr>MATreesTable</vt:lpstr>
      <vt:lpstr>MechAnchors</vt:lpstr>
      <vt:lpstr>MWTrees</vt:lpstr>
      <vt:lpstr>MWTreesTable</vt:lpstr>
      <vt:lpstr>NETrees</vt:lpstr>
      <vt:lpstr>NETreesTable</vt:lpstr>
      <vt:lpstr>'1-Cover'!Print_Area</vt:lpstr>
      <vt:lpstr>'2-Constants'!Print_Area</vt:lpstr>
      <vt:lpstr>'3-H&amp;H'!Print_Area</vt:lpstr>
      <vt:lpstr>'4-Soil'!Print_Area</vt:lpstr>
      <vt:lpstr>'5-Wood'!Print_Area</vt:lpstr>
      <vt:lpstr>'6-Single Log Design'!Print_Area</vt:lpstr>
      <vt:lpstr>'7-Notation'!Print_Area</vt:lpstr>
      <vt:lpstr>Anchors!Print_Area</vt:lpstr>
      <vt:lpstr>Directions!Print_Area</vt:lpstr>
      <vt:lpstr>'4-Soil'!Print_Titles</vt:lpstr>
      <vt:lpstr>RWporosity</vt:lpstr>
      <vt:lpstr>SCTrees</vt:lpstr>
      <vt:lpstr>SCTreesTable</vt:lpstr>
      <vt:lpstr>SelectedTrees</vt:lpstr>
      <vt:lpstr>SETrees</vt:lpstr>
      <vt:lpstr>SETreesTable</vt:lpstr>
      <vt:lpstr>SG</vt:lpstr>
      <vt:lpstr>SiteID</vt:lpstr>
      <vt:lpstr>SiteInfo</vt:lpstr>
      <vt:lpstr>SLAnchor</vt:lpstr>
      <vt:lpstr>Soil</vt:lpstr>
      <vt:lpstr>SWWater</vt:lpstr>
      <vt:lpstr>UMWTrees</vt:lpstr>
      <vt:lpstr>UMWTreesTable</vt:lpstr>
      <vt:lpstr>WCTrees</vt:lpstr>
      <vt:lpstr>WCTreesTable</vt:lpstr>
    </vt:vector>
  </TitlesOfParts>
  <Company>Herrera Environmental Consultants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Brennan</dc:creator>
  <cp:lastModifiedBy>Windows User</cp:lastModifiedBy>
  <cp:lastPrinted>2013-06-30T05:28:53Z</cp:lastPrinted>
  <dcterms:created xsi:type="dcterms:W3CDTF">2008-03-03T19:54:54Z</dcterms:created>
  <dcterms:modified xsi:type="dcterms:W3CDTF">2015-01-23T01:37:33Z</dcterms:modified>
</cp:coreProperties>
</file>