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0"/>
  </bookViews>
  <sheets>
    <sheet name="Introduction" sheetId="1" r:id="rId1"/>
    <sheet name="Background" sheetId="2" r:id="rId2"/>
    <sheet name="Instructions" sheetId="3" r:id="rId3"/>
    <sheet name="Calculations" sheetId="4" r:id="rId4"/>
    <sheet name="Validation" sheetId="5" r:id="rId5"/>
    <sheet name="Symbols" sheetId="6" r:id="rId6"/>
  </sheets>
  <definedNames/>
  <calcPr fullCalcOnLoad="1"/>
</workbook>
</file>

<file path=xl/sharedStrings.xml><?xml version="1.0" encoding="utf-8"?>
<sst xmlns="http://schemas.openxmlformats.org/spreadsheetml/2006/main" count="207" uniqueCount="96">
  <si>
    <t>Q (cms)</t>
  </si>
  <si>
    <t>ds (m)</t>
  </si>
  <si>
    <t>S(m/m)</t>
  </si>
  <si>
    <t>Variables (given)</t>
  </si>
  <si>
    <t>h (m)</t>
  </si>
  <si>
    <t>Flow Depth</t>
  </si>
  <si>
    <t>m</t>
  </si>
  <si>
    <t>a</t>
  </si>
  <si>
    <t>b</t>
  </si>
  <si>
    <t>c</t>
  </si>
  <si>
    <t>d</t>
  </si>
  <si>
    <t>% error</t>
  </si>
  <si>
    <t>Surface Width</t>
  </si>
  <si>
    <t>Mean Flow Velocity</t>
  </si>
  <si>
    <t>V (m/s)</t>
  </si>
  <si>
    <t>Shields Parameter</t>
  </si>
  <si>
    <t>W (m)</t>
  </si>
  <si>
    <t>Variables (Guess!)</t>
  </si>
  <si>
    <t>Geomorphic</t>
  </si>
  <si>
    <t>Engineering</t>
  </si>
  <si>
    <t>Slope</t>
  </si>
  <si>
    <t>S (m/m)</t>
  </si>
  <si>
    <r>
      <t>t</t>
    </r>
    <r>
      <rPr>
        <vertAlign val="subscript"/>
        <sz val="10"/>
        <rFont val="Arial"/>
        <family val="2"/>
      </rPr>
      <t>*</t>
    </r>
    <r>
      <rPr>
        <sz val="10"/>
        <rFont val="Arial"/>
        <family val="0"/>
      </rPr>
      <t xml:space="preserve"> (unitless)</t>
    </r>
  </si>
  <si>
    <t>t*</t>
  </si>
  <si>
    <t>Programmer:</t>
  </si>
  <si>
    <t>Date:</t>
  </si>
  <si>
    <t>Purpose:</t>
  </si>
  <si>
    <t>References:</t>
  </si>
  <si>
    <t>Cambridge University Press</t>
  </si>
  <si>
    <t>DOWNSTREAM HYDRAULIC GEOMETRY</t>
  </si>
  <si>
    <t>Mike Sixta</t>
  </si>
  <si>
    <t xml:space="preserve">Julien, P. 2002.  River Mechanics. </t>
  </si>
  <si>
    <t>To analytically determine the downstream hydraulic geometry of noncohesive alluvial</t>
  </si>
  <si>
    <t>channels.  This is determined from the following four relationships:</t>
  </si>
  <si>
    <t>1) Dominant discharge (Q)</t>
  </si>
  <si>
    <t>2) Resistance equation (power form)</t>
  </si>
  <si>
    <r>
      <t>3) Shields parameter (</t>
    </r>
    <r>
      <rPr>
        <sz val="12"/>
        <rFont val="Symbol"/>
        <family val="1"/>
      </rPr>
      <t>t</t>
    </r>
    <r>
      <rPr>
        <vertAlign val="subscript"/>
        <sz val="12"/>
        <rFont val="Times New Roman"/>
        <family val="1"/>
      </rPr>
      <t>*</t>
    </r>
    <r>
      <rPr>
        <sz val="12"/>
        <rFont val="Times New Roman"/>
        <family val="1"/>
      </rPr>
      <t>)</t>
    </r>
  </si>
  <si>
    <r>
      <t>4) Secondary flows (</t>
    </r>
    <r>
      <rPr>
        <sz val="12"/>
        <rFont val="Symbol"/>
        <family val="1"/>
      </rPr>
      <t>l</t>
    </r>
    <r>
      <rPr>
        <sz val="12"/>
        <rFont val="Times New Roman"/>
        <family val="1"/>
      </rPr>
      <t>)</t>
    </r>
  </si>
  <si>
    <t>It is important to note that this is a somewhat controversial topic because the results yield</t>
  </si>
  <si>
    <t>only approximate values which should be considered prior to design.</t>
  </si>
  <si>
    <t>These relationships are covered in more detail in the background section.</t>
  </si>
  <si>
    <t>These four relationships enable the definition of four dependent variables (h, W, V, S) as functions</t>
  </si>
  <si>
    <t>INSTRUCTIONS</t>
  </si>
  <si>
    <t>BACKGROUND</t>
  </si>
  <si>
    <t>The four relationships used in determining the d/s hydraulic geometry are as follows:</t>
  </si>
  <si>
    <t>1) Dominant discharge</t>
  </si>
  <si>
    <r>
      <t>3) Shields parameter (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*</t>
    </r>
    <r>
      <rPr>
        <sz val="10"/>
        <rFont val="Arial"/>
        <family val="0"/>
      </rPr>
      <t>)</t>
    </r>
  </si>
  <si>
    <r>
      <t>4) Secondary flows (</t>
    </r>
    <r>
      <rPr>
        <sz val="10"/>
        <rFont val="Symbol"/>
        <family val="1"/>
      </rPr>
      <t>l</t>
    </r>
    <r>
      <rPr>
        <sz val="10"/>
        <rFont val="Arial"/>
        <family val="0"/>
      </rPr>
      <t>) - b</t>
    </r>
    <r>
      <rPr>
        <vertAlign val="subscript"/>
        <sz val="10"/>
        <rFont val="Arial"/>
        <family val="2"/>
      </rPr>
      <t>r</t>
    </r>
    <r>
      <rPr>
        <sz val="10"/>
        <rFont val="Arial"/>
        <family val="0"/>
      </rPr>
      <t xml:space="preserve"> is assumed to be constant</t>
    </r>
  </si>
  <si>
    <r>
      <t xml:space="preserve">of three independent variables (Q, ds,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*</t>
    </r>
    <r>
      <rPr>
        <sz val="10"/>
        <rFont val="Arial"/>
        <family val="0"/>
      </rPr>
      <t>).  This system of equations is as follows:</t>
    </r>
  </si>
  <si>
    <t>LIST OF SYMBOLS</t>
  </si>
  <si>
    <t>Q – Discharge</t>
  </si>
  <si>
    <t>h – Depth</t>
  </si>
  <si>
    <t>W – Width</t>
  </si>
  <si>
    <t>V – Velocity</t>
  </si>
  <si>
    <t>S – Slope</t>
  </si>
  <si>
    <r>
      <t>t</t>
    </r>
    <r>
      <rPr>
        <vertAlign val="subscript"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- Shields parameter</t>
    </r>
  </si>
  <si>
    <t>a – Constant</t>
  </si>
  <si>
    <t>m – Constant</t>
  </si>
  <si>
    <r>
      <t>b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– Constant (assumed)</t>
    </r>
  </si>
  <si>
    <r>
      <t>W</t>
    </r>
    <r>
      <rPr>
        <vertAlign val="subscript"/>
        <sz val="12"/>
        <rFont val="Times New Roman"/>
        <family val="1"/>
      </rPr>
      <t>R</t>
    </r>
    <r>
      <rPr>
        <sz val="12"/>
        <rFont val="Times New Roman"/>
        <family val="1"/>
      </rPr>
      <t xml:space="preserve"> – Dimensionless parameter (centrifugal force generating motion : shear force abating motion)</t>
    </r>
  </si>
  <si>
    <r>
      <t>d</t>
    </r>
    <r>
      <rPr>
        <vertAlign val="subscript"/>
        <sz val="12"/>
        <rFont val="Times New Roman"/>
        <family val="1"/>
      </rPr>
      <t>s</t>
    </r>
    <r>
      <rPr>
        <sz val="12"/>
        <rFont val="Times New Roman"/>
        <family val="1"/>
      </rPr>
      <t xml:space="preserve"> – Grain diameter</t>
    </r>
  </si>
  <si>
    <t>g – Gravitational acceleration</t>
  </si>
  <si>
    <t>G – Specific gravity</t>
  </si>
  <si>
    <r>
      <t>l</t>
    </r>
    <r>
      <rPr>
        <sz val="12"/>
        <rFont val="Times New Roman"/>
        <family val="1"/>
      </rPr>
      <t xml:space="preserve"> - Deviation angle</t>
    </r>
  </si>
  <si>
    <t>R – Radius of curvature</t>
  </si>
  <si>
    <t>CALCULATIONS</t>
  </si>
  <si>
    <t>VALIDATION</t>
  </si>
  <si>
    <t>This set of equations is useful for the engineering field, and have thus been defined as the "Engineering"</t>
  </si>
  <si>
    <t>set of equations.  These equations are also flexible enough to allow the user to use a different set of</t>
  </si>
  <si>
    <t>known independent variables.  A geomorphologist for example may want to define a different set of</t>
  </si>
  <si>
    <t>system of equations is as follows:</t>
  </si>
  <si>
    <r>
      <t xml:space="preserve">dependent variables (h, W, V,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*</t>
    </r>
    <r>
      <rPr>
        <sz val="10"/>
        <rFont val="Arial"/>
        <family val="0"/>
      </rPr>
      <t>) as functions of three different independent variables (Q, d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, S).  This</t>
    </r>
  </si>
  <si>
    <t>This set of equations has been defined as the "Geomorphic" set of equations.</t>
  </si>
  <si>
    <t>All computations are carried out on the "Calculations" sheet.</t>
  </si>
  <si>
    <t>To start, the user should select and input three known independent variables:</t>
  </si>
  <si>
    <r>
      <t>(Q, d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>, S) for the "Geomorphic" set of equations</t>
    </r>
  </si>
  <si>
    <r>
      <t>(Q, d</t>
    </r>
    <r>
      <rPr>
        <vertAlign val="subscript"/>
        <sz val="10"/>
        <rFont val="Arial"/>
        <family val="2"/>
      </rPr>
      <t>s</t>
    </r>
    <r>
      <rPr>
        <sz val="10"/>
        <rFont val="Arial"/>
        <family val="0"/>
      </rPr>
      <t xml:space="preserve">, </t>
    </r>
    <r>
      <rPr>
        <sz val="10"/>
        <rFont val="Symbol"/>
        <family val="1"/>
      </rPr>
      <t>t</t>
    </r>
    <r>
      <rPr>
        <vertAlign val="subscript"/>
        <sz val="10"/>
        <rFont val="Arial"/>
        <family val="2"/>
      </rPr>
      <t>*</t>
    </r>
    <r>
      <rPr>
        <sz val="10"/>
        <rFont val="Arial"/>
        <family val="0"/>
      </rPr>
      <t>) for the "Engineering" set of equations</t>
    </r>
  </si>
  <si>
    <t>Next, a 'guessed' value for the flow depth should be inputted.</t>
  </si>
  <si>
    <t>Finally, by clicking on the appropriate button (Geomorphic/Engineering), the appropriate set of dependent</t>
  </si>
  <si>
    <t>variables will be solved for.  This is accomplished through an iterative process, whereby the guessed depth</t>
  </si>
  <si>
    <t>value is used to calculate m, which is then used to calculate the necessary variables (b,c,d) to be used for</t>
  </si>
  <si>
    <t>b - Constant (power)</t>
  </si>
  <si>
    <t>c - Constant (power)</t>
  </si>
  <si>
    <t>d - Constant (power)</t>
  </si>
  <si>
    <t>the calculated depth value.  This calculated depth is then compared to the guessed depth value until</t>
  </si>
  <si>
    <t>convergence.  This convergence is evident through driving the error percentage between these two values</t>
  </si>
  <si>
    <t>to zero.</t>
  </si>
  <si>
    <t>An example calculation is provided on the "Validation" sheet.  The values used for validation can be found</t>
  </si>
  <si>
    <r>
      <t xml:space="preserve">in </t>
    </r>
    <r>
      <rPr>
        <i/>
        <sz val="10"/>
        <rFont val="Arial"/>
        <family val="2"/>
      </rPr>
      <t>River Mechanics</t>
    </r>
    <r>
      <rPr>
        <sz val="10"/>
        <rFont val="Arial"/>
        <family val="0"/>
      </rPr>
      <t xml:space="preserve"> (2002), Example 6.2, pgs. 176-177.</t>
    </r>
  </si>
  <si>
    <t>N.A.</t>
  </si>
  <si>
    <t>These values are very close to those obtained in Julien (2002).</t>
  </si>
  <si>
    <t>Summary:</t>
  </si>
  <si>
    <t>h = 1.51 m</t>
  </si>
  <si>
    <t>W = 36.45 m</t>
  </si>
  <si>
    <t>V = 1.89 m/s</t>
  </si>
  <si>
    <t>S = 2.87E-03 m/m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</si>
</sst>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.00"/>
    <numFmt numFmtId="166" formatCode="0.0000"/>
    <numFmt numFmtId="167" formatCode="#,##0.000"/>
  </numFmts>
  <fonts count="12">
    <font>
      <sz val="10"/>
      <name val="Arial"/>
      <family val="0"/>
    </font>
    <font>
      <b/>
      <sz val="10"/>
      <name val="Arial"/>
      <family val="2"/>
    </font>
    <font>
      <sz val="10"/>
      <name val="Symbol"/>
      <family val="1"/>
    </font>
    <font>
      <b/>
      <sz val="12"/>
      <name val="Arial"/>
      <family val="2"/>
    </font>
    <font>
      <vertAlign val="subscript"/>
      <sz val="10"/>
      <name val="Arial"/>
      <family val="2"/>
    </font>
    <font>
      <b/>
      <sz val="20"/>
      <color indexed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Symbol"/>
      <family val="1"/>
    </font>
    <font>
      <vertAlign val="subscript"/>
      <sz val="12"/>
      <name val="Times New Roman"/>
      <family val="1"/>
    </font>
    <font>
      <sz val="20"/>
      <color indexed="9"/>
      <name val="Times New Roman"/>
      <family val="1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2" fillId="4" borderId="1" xfId="0" applyFont="1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6" fillId="0" borderId="0" xfId="0" applyNumberFormat="1" applyFont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3" borderId="1" xfId="0" applyFill="1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166" fontId="0" fillId="2" borderId="1" xfId="0" applyNumberFormat="1" applyFill="1" applyBorder="1" applyAlignment="1" applyProtection="1">
      <alignment/>
      <protection locked="0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2" fontId="1" fillId="3" borderId="1" xfId="0" applyNumberFormat="1" applyFont="1" applyFill="1" applyBorder="1" applyAlignment="1">
      <alignment/>
    </xf>
    <xf numFmtId="164" fontId="1" fillId="0" borderId="1" xfId="0" applyNumberFormat="1" applyFont="1" applyBorder="1" applyAlignment="1">
      <alignment/>
    </xf>
    <xf numFmtId="2" fontId="1" fillId="4" borderId="1" xfId="0" applyNumberFormat="1" applyFont="1" applyFill="1" applyBorder="1" applyAlignment="1">
      <alignment/>
    </xf>
    <xf numFmtId="11" fontId="1" fillId="4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4" fontId="1" fillId="3" borderId="1" xfId="0" applyNumberFormat="1" applyFont="1" applyFill="1" applyBorder="1" applyAlignment="1">
      <alignment/>
    </xf>
    <xf numFmtId="0" fontId="5" fillId="5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0" fillId="2" borderId="1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right"/>
      <protection/>
    </xf>
    <xf numFmtId="0" fontId="0" fillId="4" borderId="1" xfId="0" applyFill="1" applyBorder="1" applyAlignment="1" applyProtection="1">
      <alignment/>
      <protection/>
    </xf>
    <xf numFmtId="166" fontId="0" fillId="2" borderId="1" xfId="0" applyNumberForma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5" fillId="5" borderId="0" xfId="0" applyFont="1" applyFill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9.emf" /><Relationship Id="rId3" Type="http://schemas.openxmlformats.org/officeDocument/2006/relationships/image" Target="../media/image8.emf" /><Relationship Id="rId4" Type="http://schemas.openxmlformats.org/officeDocument/2006/relationships/image" Target="../media/image2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13</xdr:row>
      <xdr:rowOff>142875</xdr:rowOff>
    </xdr:from>
    <xdr:to>
      <xdr:col>1</xdr:col>
      <xdr:colOff>457200</xdr:colOff>
      <xdr:row>16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8602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17</xdr:row>
      <xdr:rowOff>85725</xdr:rowOff>
    </xdr:from>
    <xdr:to>
      <xdr:col>1</xdr:col>
      <xdr:colOff>457200</xdr:colOff>
      <xdr:row>20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07657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13</xdr:row>
      <xdr:rowOff>142875</xdr:rowOff>
    </xdr:from>
    <xdr:to>
      <xdr:col>1</xdr:col>
      <xdr:colOff>457200</xdr:colOff>
      <xdr:row>16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48602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285750</xdr:colOff>
      <xdr:row>17</xdr:row>
      <xdr:rowOff>85725</xdr:rowOff>
    </xdr:from>
    <xdr:to>
      <xdr:col>1</xdr:col>
      <xdr:colOff>457200</xdr:colOff>
      <xdr:row>20</xdr:row>
      <xdr:rowOff>9525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3076575"/>
          <a:ext cx="8667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B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5.57421875" style="0" customWidth="1"/>
    <col min="2" max="2" width="80.7109375" style="0" customWidth="1"/>
  </cols>
  <sheetData>
    <row r="1" spans="1:2" ht="26.25">
      <c r="A1" s="23"/>
      <c r="B1" s="22" t="s">
        <v>29</v>
      </c>
    </row>
    <row r="2" spans="1:2" ht="15.75">
      <c r="A2" s="5"/>
      <c r="B2" s="5"/>
    </row>
    <row r="3" spans="1:2" ht="15.75">
      <c r="A3" s="6" t="s">
        <v>24</v>
      </c>
      <c r="B3" s="5" t="s">
        <v>30</v>
      </c>
    </row>
    <row r="4" spans="1:2" ht="15.75">
      <c r="A4" s="6" t="s">
        <v>25</v>
      </c>
      <c r="B4" s="7">
        <v>37707</v>
      </c>
    </row>
    <row r="5" spans="1:2" ht="15.75">
      <c r="A5" s="5"/>
      <c r="B5" s="5"/>
    </row>
    <row r="6" spans="1:2" ht="15.75">
      <c r="A6" s="8"/>
      <c r="B6" s="8"/>
    </row>
    <row r="7" spans="1:2" ht="15.75">
      <c r="A7" s="6" t="s">
        <v>26</v>
      </c>
      <c r="B7" s="5" t="s">
        <v>32</v>
      </c>
    </row>
    <row r="8" spans="1:2" ht="15.75">
      <c r="A8" s="5"/>
      <c r="B8" s="5" t="s">
        <v>33</v>
      </c>
    </row>
    <row r="9" spans="1:2" ht="15.75">
      <c r="A9" s="5"/>
      <c r="B9" s="5" t="s">
        <v>34</v>
      </c>
    </row>
    <row r="10" spans="1:2" ht="15.75">
      <c r="A10" s="9"/>
      <c r="B10" s="9" t="s">
        <v>35</v>
      </c>
    </row>
    <row r="11" spans="1:2" ht="18.75">
      <c r="A11" s="9"/>
      <c r="B11" s="9" t="s">
        <v>36</v>
      </c>
    </row>
    <row r="12" spans="1:2" ht="15.75">
      <c r="A12" s="9"/>
      <c r="B12" s="9" t="s">
        <v>37</v>
      </c>
    </row>
    <row r="13" spans="1:2" ht="15.75">
      <c r="A13" s="9"/>
      <c r="B13" s="9"/>
    </row>
    <row r="14" spans="1:2" ht="15.75">
      <c r="A14" s="9"/>
      <c r="B14" s="9" t="s">
        <v>40</v>
      </c>
    </row>
    <row r="15" spans="1:2" ht="15.75">
      <c r="A15" s="9"/>
      <c r="B15" s="9"/>
    </row>
    <row r="16" spans="1:2" ht="15.75">
      <c r="A16" s="9"/>
      <c r="B16" s="9" t="s">
        <v>38</v>
      </c>
    </row>
    <row r="17" spans="1:2" ht="15.75">
      <c r="A17" s="9"/>
      <c r="B17" s="9" t="s">
        <v>39</v>
      </c>
    </row>
    <row r="18" spans="1:2" ht="15.75">
      <c r="A18" s="8"/>
      <c r="B18" s="8"/>
    </row>
    <row r="19" spans="1:2" ht="15.75">
      <c r="A19" s="6" t="s">
        <v>27</v>
      </c>
      <c r="B19" s="5" t="s">
        <v>31</v>
      </c>
    </row>
    <row r="20" spans="1:2" ht="15.75">
      <c r="A20" s="5"/>
      <c r="B20" s="5" t="s">
        <v>28</v>
      </c>
    </row>
    <row r="21" spans="1:2" ht="15.75">
      <c r="A21" s="5"/>
      <c r="B21" s="5"/>
    </row>
    <row r="22" spans="1:2" ht="15.75">
      <c r="A22" s="5"/>
      <c r="B22" s="5"/>
    </row>
    <row r="23" spans="1:2" ht="15.75">
      <c r="A23" s="5"/>
      <c r="B23" s="5"/>
    </row>
  </sheetData>
  <sheetProtection password="DE9D" sheet="1" objects="1" scenarios="1"/>
  <printOptions/>
  <pageMargins left="0.75" right="0.75" top="1" bottom="1" header="0.5" footer="0.5"/>
  <pageSetup fitToHeight="1" fitToWidth="1" horizontalDpi="300" verticalDpi="3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61"/>
  <sheetViews>
    <sheetView workbookViewId="0" topLeftCell="A4">
      <selection activeCell="B3" sqref="B3"/>
    </sheetView>
  </sheetViews>
  <sheetFormatPr defaultColWidth="9.140625" defaultRowHeight="12.75"/>
  <cols>
    <col min="1" max="1" width="87.7109375" style="0" customWidth="1"/>
  </cols>
  <sheetData>
    <row r="1" ht="25.5">
      <c r="A1" s="22" t="s">
        <v>43</v>
      </c>
    </row>
    <row r="3" ht="12.75">
      <c r="A3" t="s">
        <v>44</v>
      </c>
    </row>
    <row r="5" ht="12.75">
      <c r="A5" t="s">
        <v>45</v>
      </c>
    </row>
    <row r="9" ht="12.75">
      <c r="A9" t="s">
        <v>35</v>
      </c>
    </row>
    <row r="15" ht="15.75">
      <c r="A15" t="s">
        <v>46</v>
      </c>
    </row>
    <row r="20" ht="15.75">
      <c r="A20" t="s">
        <v>47</v>
      </c>
    </row>
    <row r="28" ht="12.75">
      <c r="A28" t="s">
        <v>41</v>
      </c>
    </row>
    <row r="29" ht="15.75">
      <c r="A29" t="s">
        <v>48</v>
      </c>
    </row>
    <row r="43" ht="12.75">
      <c r="A43" t="s">
        <v>67</v>
      </c>
    </row>
    <row r="44" ht="12.75">
      <c r="A44" t="s">
        <v>68</v>
      </c>
    </row>
    <row r="45" ht="12.75">
      <c r="A45" t="s">
        <v>69</v>
      </c>
    </row>
    <row r="46" ht="15.75">
      <c r="A46" t="s">
        <v>71</v>
      </c>
    </row>
    <row r="47" ht="12.75">
      <c r="A47" t="s">
        <v>70</v>
      </c>
    </row>
    <row r="61" ht="12.75">
      <c r="A61" t="s">
        <v>72</v>
      </c>
    </row>
  </sheetData>
  <sheetProtection password="DE9D" sheet="1" objects="1" scenarios="1"/>
  <printOptions/>
  <pageMargins left="0.75" right="0.75" top="1" bottom="1" header="0.5" footer="0.5"/>
  <pageSetup horizontalDpi="300" verticalDpi="300" orientation="portrait" r:id="rId8"/>
  <legacyDrawing r:id="rId7"/>
  <oleObjects>
    <oleObject progId="Equation.3" shapeId="853827" r:id="rId1"/>
    <oleObject progId="Equation.3" shapeId="860649" r:id="rId2"/>
    <oleObject progId="Equation.3" shapeId="870025" r:id="rId3"/>
    <oleObject progId="Equation.3" shapeId="878342" r:id="rId4"/>
    <oleObject progId="Equation.3" shapeId="996112" r:id="rId5"/>
    <oleObject progId="Equation.3" shapeId="1046385" r:id="rId6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A19"/>
  <sheetViews>
    <sheetView workbookViewId="0" topLeftCell="A1">
      <selection activeCell="B3" sqref="B3"/>
    </sheetView>
  </sheetViews>
  <sheetFormatPr defaultColWidth="9.140625" defaultRowHeight="12.75"/>
  <cols>
    <col min="1" max="1" width="88.57421875" style="0" customWidth="1"/>
  </cols>
  <sheetData>
    <row r="1" ht="25.5">
      <c r="A1" s="22" t="s">
        <v>42</v>
      </c>
    </row>
    <row r="3" ht="12.75">
      <c r="A3" t="s">
        <v>73</v>
      </c>
    </row>
    <row r="5" ht="12.75">
      <c r="A5" t="s">
        <v>74</v>
      </c>
    </row>
    <row r="6" ht="15.75">
      <c r="A6" t="s">
        <v>75</v>
      </c>
    </row>
    <row r="7" ht="15.75">
      <c r="A7" t="s">
        <v>76</v>
      </c>
    </row>
    <row r="9" ht="12.75">
      <c r="A9" t="s">
        <v>77</v>
      </c>
    </row>
    <row r="11" ht="12.75">
      <c r="A11" t="s">
        <v>78</v>
      </c>
    </row>
    <row r="12" ht="12.75">
      <c r="A12" t="s">
        <v>79</v>
      </c>
    </row>
    <row r="13" ht="12.75">
      <c r="A13" t="s">
        <v>80</v>
      </c>
    </row>
    <row r="14" ht="12.75">
      <c r="A14" t="s">
        <v>84</v>
      </c>
    </row>
    <row r="15" ht="12.75">
      <c r="A15" t="s">
        <v>85</v>
      </c>
    </row>
    <row r="16" ht="12.75">
      <c r="A16" t="s">
        <v>86</v>
      </c>
    </row>
    <row r="18" ht="12.75">
      <c r="A18" t="s">
        <v>87</v>
      </c>
    </row>
    <row r="19" ht="12.75">
      <c r="A19" t="s">
        <v>88</v>
      </c>
    </row>
  </sheetData>
  <sheetProtection password="DE9D" sheet="1" objects="1" scenarios="1"/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421875" style="0" customWidth="1"/>
    <col min="5" max="5" width="9.7109375" style="0" customWidth="1"/>
    <col min="9" max="9" width="11.421875" style="0" customWidth="1"/>
  </cols>
  <sheetData>
    <row r="1" spans="4:9" ht="25.5">
      <c r="D1" s="30" t="s">
        <v>65</v>
      </c>
      <c r="E1" s="30"/>
      <c r="F1" s="30"/>
      <c r="G1" s="30"/>
      <c r="H1" s="30"/>
      <c r="I1" s="30"/>
    </row>
    <row r="2" spans="4:9" ht="15.75">
      <c r="D2" s="32"/>
      <c r="E2" s="32"/>
      <c r="F2" s="32"/>
      <c r="G2" s="32"/>
      <c r="H2" s="32"/>
      <c r="I2" s="32"/>
    </row>
    <row r="3" spans="4:9" ht="12.75">
      <c r="D3" s="33" t="s">
        <v>18</v>
      </c>
      <c r="E3" s="34"/>
      <c r="H3" s="35" t="s">
        <v>19</v>
      </c>
      <c r="I3" s="36"/>
    </row>
    <row r="4" ht="12.75">
      <c r="H4" s="1"/>
    </row>
    <row r="5" spans="1:9" ht="12.75">
      <c r="A5" s="37" t="s">
        <v>3</v>
      </c>
      <c r="B5" s="37"/>
      <c r="D5" s="31" t="s">
        <v>5</v>
      </c>
      <c r="E5" s="31"/>
      <c r="H5" s="31" t="s">
        <v>5</v>
      </c>
      <c r="I5" s="31"/>
    </row>
    <row r="6" spans="1:9" ht="12.75">
      <c r="A6" s="2" t="s">
        <v>0</v>
      </c>
      <c r="B6" s="10">
        <v>160</v>
      </c>
      <c r="D6" s="14" t="s">
        <v>6</v>
      </c>
      <c r="E6" s="17">
        <f>1/(LN((12.2*$B$13)/$B$7))</f>
        <v>0.08676276906539457</v>
      </c>
      <c r="H6" s="14" t="s">
        <v>6</v>
      </c>
      <c r="I6" s="17">
        <f>1/(LN((12.2*$B$13)/$B$7))</f>
        <v>0.08676276906539457</v>
      </c>
    </row>
    <row r="7" spans="1:9" ht="12.75">
      <c r="A7" s="2" t="s">
        <v>1</v>
      </c>
      <c r="B7" s="10">
        <v>0.0004</v>
      </c>
      <c r="D7" s="14" t="s">
        <v>7</v>
      </c>
      <c r="E7" s="15">
        <v>0.2</v>
      </c>
      <c r="H7" s="14" t="s">
        <v>7</v>
      </c>
      <c r="I7" s="15">
        <v>0.133</v>
      </c>
    </row>
    <row r="8" spans="1:9" ht="12.75">
      <c r="A8" s="3" t="s">
        <v>2</v>
      </c>
      <c r="B8" s="11">
        <v>8E-05</v>
      </c>
      <c r="D8" s="14" t="s">
        <v>8</v>
      </c>
      <c r="E8" s="15">
        <f>2/(5+6*E6)</f>
        <v>0.3622809970222891</v>
      </c>
      <c r="H8" s="14" t="s">
        <v>8</v>
      </c>
      <c r="I8" s="15">
        <f>1/(3*I6+2)</f>
        <v>0.4424214366000364</v>
      </c>
    </row>
    <row r="9" spans="1:9" ht="15.75">
      <c r="A9" s="4" t="s">
        <v>22</v>
      </c>
      <c r="B9" s="12">
        <v>0.1</v>
      </c>
      <c r="D9" s="14" t="s">
        <v>9</v>
      </c>
      <c r="E9" s="15">
        <f>(6*E6)/(5+6*E6)</f>
        <v>0.09429750744427728</v>
      </c>
      <c r="H9" s="14" t="s">
        <v>9</v>
      </c>
      <c r="I9" s="15">
        <f>(6*I6-1)/(6*I6+4)</f>
        <v>-0.10605359150009103</v>
      </c>
    </row>
    <row r="10" spans="3:9" ht="12.75">
      <c r="C10" s="1"/>
      <c r="D10" s="14" t="s">
        <v>10</v>
      </c>
      <c r="E10" s="15">
        <f>-1/(5+6*E6)</f>
        <v>-0.18114049851114455</v>
      </c>
      <c r="H10" s="14" t="s">
        <v>10</v>
      </c>
      <c r="I10" s="15">
        <f>-1/(6*I6+4)</f>
        <v>-0.2212107183000182</v>
      </c>
    </row>
    <row r="11" spans="4:9" ht="12.75">
      <c r="D11" s="14" t="s">
        <v>4</v>
      </c>
      <c r="E11" s="16">
        <f>(E7)*(B6^E8)*(B7^E9)*(B8^E10)</f>
        <v>3.320777894378469</v>
      </c>
      <c r="H11" s="14" t="s">
        <v>4</v>
      </c>
      <c r="I11" s="18">
        <f>(I7)*(B6^I8)*(B7^I9)*(B9^I10)</f>
        <v>4.792653484733489</v>
      </c>
    </row>
    <row r="12" spans="1:9" ht="12.75">
      <c r="A12" s="37" t="s">
        <v>17</v>
      </c>
      <c r="B12" s="37">
        <v>-4.253478880714396E+27</v>
      </c>
      <c r="D12" s="14" t="s">
        <v>11</v>
      </c>
      <c r="E12" s="14">
        <f>((E11-$B$13)/E11)*100</f>
        <v>1.1217375615357576E-06</v>
      </c>
      <c r="H12" s="14" t="s">
        <v>11</v>
      </c>
      <c r="I12" s="14">
        <f>((I11-$B$13)/I11)*100</f>
        <v>30.711079619963</v>
      </c>
    </row>
    <row r="13" spans="1:2" ht="12.75">
      <c r="A13" s="2" t="s">
        <v>4</v>
      </c>
      <c r="B13" s="13">
        <v>3.320777857128056</v>
      </c>
    </row>
    <row r="14" spans="4:9" ht="12.75">
      <c r="D14" s="31" t="s">
        <v>12</v>
      </c>
      <c r="E14" s="31"/>
      <c r="H14" s="31" t="s">
        <v>12</v>
      </c>
      <c r="I14" s="31"/>
    </row>
    <row r="15" spans="4:9" ht="12.75">
      <c r="D15" s="14" t="s">
        <v>6</v>
      </c>
      <c r="E15" s="15">
        <f>E6</f>
        <v>0.08676276906539457</v>
      </c>
      <c r="H15" s="14" t="s">
        <v>6</v>
      </c>
      <c r="I15" s="15">
        <f>I6</f>
        <v>0.08676276906539457</v>
      </c>
    </row>
    <row r="16" spans="4:9" ht="12.75">
      <c r="D16" s="14" t="s">
        <v>7</v>
      </c>
      <c r="E16" s="15">
        <f>1.33</f>
        <v>1.33</v>
      </c>
      <c r="H16" s="14" t="s">
        <v>7</v>
      </c>
      <c r="I16" s="15">
        <v>0.512</v>
      </c>
    </row>
    <row r="17" spans="4:9" ht="12.75">
      <c r="D17" s="14" t="s">
        <v>8</v>
      </c>
      <c r="E17" s="15">
        <f>(2+4*E15)/(5+6*E15)</f>
        <v>0.42514600198514063</v>
      </c>
      <c r="H17" s="14" t="s">
        <v>8</v>
      </c>
      <c r="I17" s="15">
        <f>(2*I15+1)/(3*I15+2)</f>
        <v>0.5191928544666545</v>
      </c>
    </row>
    <row r="18" spans="4:9" ht="12.75">
      <c r="D18" s="14" t="s">
        <v>9</v>
      </c>
      <c r="E18" s="15">
        <f>(-4*E15)/(5+6*E15)</f>
        <v>-0.06286500496285154</v>
      </c>
      <c r="H18" s="14" t="s">
        <v>9</v>
      </c>
      <c r="I18" s="15">
        <f>(-4*I15-1)/(6*I15+4)</f>
        <v>-0.2979821361666364</v>
      </c>
    </row>
    <row r="19" spans="4:9" ht="12.75">
      <c r="D19" s="14" t="s">
        <v>10</v>
      </c>
      <c r="E19" s="15">
        <f>(-1-2*E15)/(5+6*E15)</f>
        <v>-0.21257300099257032</v>
      </c>
      <c r="H19" s="14" t="s">
        <v>10</v>
      </c>
      <c r="I19" s="15">
        <f>(-2*I15-1)/(6*I15+4)</f>
        <v>-0.25959642723332726</v>
      </c>
    </row>
    <row r="20" spans="4:9" ht="12.75">
      <c r="D20" s="14" t="s">
        <v>16</v>
      </c>
      <c r="E20" s="16">
        <f>(E16)*(B6^E17)*(B7^E18)*(B8^E19)</f>
        <v>139.77464929634814</v>
      </c>
      <c r="H20" s="14" t="s">
        <v>16</v>
      </c>
      <c r="I20" s="18">
        <f>(I16)*(B6^I17)*(B7^I18)*(B9^I19)</f>
        <v>133.58421907451702</v>
      </c>
    </row>
    <row r="22" spans="4:9" ht="12.75">
      <c r="D22" s="31" t="s">
        <v>13</v>
      </c>
      <c r="E22" s="31"/>
      <c r="H22" s="31" t="s">
        <v>13</v>
      </c>
      <c r="I22" s="31"/>
    </row>
    <row r="23" spans="4:9" ht="12.75">
      <c r="D23" s="14" t="s">
        <v>6</v>
      </c>
      <c r="E23" s="15">
        <f>E6</f>
        <v>0.08676276906539457</v>
      </c>
      <c r="H23" s="14" t="s">
        <v>6</v>
      </c>
      <c r="I23" s="15">
        <f>I6</f>
        <v>0.08676276906539457</v>
      </c>
    </row>
    <row r="24" spans="4:9" ht="12.75">
      <c r="D24" s="14" t="s">
        <v>7</v>
      </c>
      <c r="E24" s="15">
        <v>3.76</v>
      </c>
      <c r="H24" s="14" t="s">
        <v>7</v>
      </c>
      <c r="I24" s="15">
        <v>14.7</v>
      </c>
    </row>
    <row r="25" spans="4:9" ht="12.75">
      <c r="D25" s="14" t="s">
        <v>8</v>
      </c>
      <c r="E25" s="15">
        <f>(1+2*E23)/(5+6*E23)</f>
        <v>0.21257300099257032</v>
      </c>
      <c r="H25" s="14" t="s">
        <v>8</v>
      </c>
      <c r="I25" s="15">
        <f>I23/(3*I23+2)</f>
        <v>0.038385708933309066</v>
      </c>
    </row>
    <row r="26" spans="4:9" ht="12.75">
      <c r="D26" s="14" t="s">
        <v>9</v>
      </c>
      <c r="E26" s="15">
        <f>(-2*E23)/(5+6*E23)</f>
        <v>-0.03143250248142577</v>
      </c>
      <c r="H26" s="14" t="s">
        <v>9</v>
      </c>
      <c r="I26" s="15">
        <f>(2-2*I23)/(6*I23+4)</f>
        <v>0.40403572766672735</v>
      </c>
    </row>
    <row r="27" spans="4:9" ht="12.75">
      <c r="D27" s="14" t="s">
        <v>10</v>
      </c>
      <c r="E27" s="15">
        <f>(2+2*E23)/(5+6*E23)</f>
        <v>0.3937134995037148</v>
      </c>
      <c r="H27" s="14" t="s">
        <v>10</v>
      </c>
      <c r="I27" s="15">
        <f>(2*I23+2)/(6*I23+4)</f>
        <v>0.4808071455333454</v>
      </c>
    </row>
    <row r="28" spans="4:9" ht="12.75">
      <c r="D28" s="14" t="s">
        <v>14</v>
      </c>
      <c r="E28" s="16">
        <f>(E24)*(B6^E25)*(B7^E26)*(B8^E27)</f>
        <v>0.3447634544326063</v>
      </c>
      <c r="H28" s="14" t="s">
        <v>14</v>
      </c>
      <c r="I28" s="18">
        <f>(I24)*(B6^I25)*(B7^I26)*(B9^I27)</f>
        <v>0.25016568251657856</v>
      </c>
    </row>
    <row r="30" spans="4:9" ht="12.75">
      <c r="D30" s="31" t="s">
        <v>15</v>
      </c>
      <c r="E30" s="31"/>
      <c r="H30" s="31" t="s">
        <v>20</v>
      </c>
      <c r="I30" s="31"/>
    </row>
    <row r="31" spans="4:9" ht="12.75">
      <c r="D31" s="14" t="s">
        <v>6</v>
      </c>
      <c r="E31" s="15">
        <f>E6</f>
        <v>0.08676276906539457</v>
      </c>
      <c r="H31" s="14" t="s">
        <v>6</v>
      </c>
      <c r="I31" s="15">
        <f>I6</f>
        <v>0.08676276906539457</v>
      </c>
    </row>
    <row r="32" spans="4:9" ht="12.75">
      <c r="D32" s="14" t="s">
        <v>7</v>
      </c>
      <c r="E32" s="15">
        <v>0.121</v>
      </c>
      <c r="H32" s="14" t="s">
        <v>7</v>
      </c>
      <c r="I32" s="15">
        <v>12.4</v>
      </c>
    </row>
    <row r="33" spans="4:9" ht="12.75">
      <c r="D33" s="14" t="s">
        <v>8</v>
      </c>
      <c r="E33" s="15">
        <f>(2)/(5+6*E31)</f>
        <v>0.3622809970222891</v>
      </c>
      <c r="H33" s="14" t="s">
        <v>8</v>
      </c>
      <c r="I33" s="15">
        <f>-1/(3*I31+2)</f>
        <v>-0.4424214366000364</v>
      </c>
    </row>
    <row r="34" spans="4:9" ht="12.75">
      <c r="D34" s="14" t="s">
        <v>9</v>
      </c>
      <c r="E34" s="15">
        <f>(-5)/(5+6*E31)</f>
        <v>-0.9057024925557227</v>
      </c>
      <c r="H34" s="14" t="s">
        <v>9</v>
      </c>
      <c r="I34" s="15">
        <f>5/(6*I31+4)</f>
        <v>1.106053591500091</v>
      </c>
    </row>
    <row r="35" spans="4:9" ht="12.75">
      <c r="D35" s="14" t="s">
        <v>10</v>
      </c>
      <c r="E35" s="15">
        <f>(4+6*E31)/(5+6*E31)</f>
        <v>0.8188595014888554</v>
      </c>
      <c r="H35" s="14" t="s">
        <v>10</v>
      </c>
      <c r="I35" s="15">
        <f>(6*I31+5)/(6*I31+4)</f>
        <v>1.2212107183000183</v>
      </c>
    </row>
    <row r="36" spans="4:9" ht="12.75">
      <c r="D36" s="20" t="s">
        <v>23</v>
      </c>
      <c r="E36" s="21">
        <f>(E32)*(B6^E33)*(B7^E34)*(B8^E35)</f>
        <v>0.4018141252197945</v>
      </c>
      <c r="H36" s="14" t="s">
        <v>21</v>
      </c>
      <c r="I36" s="19">
        <f>(I32)*(B6^I33)*(B7^I34)*(B9^I35)</f>
        <v>1.3764400078189325E-05</v>
      </c>
    </row>
  </sheetData>
  <sheetProtection password="DE9D" sheet="1" objects="1" scenarios="1"/>
  <mergeCells count="14">
    <mergeCell ref="A5:B5"/>
    <mergeCell ref="A12:B12"/>
    <mergeCell ref="D5:E5"/>
    <mergeCell ref="D14:E14"/>
    <mergeCell ref="D1:I1"/>
    <mergeCell ref="H22:I22"/>
    <mergeCell ref="H30:I30"/>
    <mergeCell ref="D2:I2"/>
    <mergeCell ref="D3:E3"/>
    <mergeCell ref="H3:I3"/>
    <mergeCell ref="H5:I5"/>
    <mergeCell ref="H14:I14"/>
    <mergeCell ref="D22:E22"/>
    <mergeCell ref="D30:E30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I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0.421875" style="0" customWidth="1"/>
    <col min="2" max="2" width="11.421875" style="0" customWidth="1"/>
    <col min="5" max="5" width="9.7109375" style="0" customWidth="1"/>
    <col min="9" max="9" width="11.421875" style="0" customWidth="1"/>
  </cols>
  <sheetData>
    <row r="1" spans="4:9" ht="25.5">
      <c r="D1" s="30" t="s">
        <v>66</v>
      </c>
      <c r="E1" s="30"/>
      <c r="F1" s="30"/>
      <c r="G1" s="30"/>
      <c r="H1" s="30"/>
      <c r="I1" s="30"/>
    </row>
    <row r="2" spans="4:9" ht="15.75">
      <c r="D2" s="32"/>
      <c r="E2" s="32"/>
      <c r="F2" s="32"/>
      <c r="G2" s="32"/>
      <c r="H2" s="32"/>
      <c r="I2" s="32"/>
    </row>
    <row r="3" spans="4:9" ht="12.75">
      <c r="D3" s="33" t="s">
        <v>18</v>
      </c>
      <c r="E3" s="34"/>
      <c r="H3" s="35" t="s">
        <v>19</v>
      </c>
      <c r="I3" s="36"/>
    </row>
    <row r="4" ht="12.75">
      <c r="H4" s="1"/>
    </row>
    <row r="5" spans="1:9" ht="12.75">
      <c r="A5" s="37" t="s">
        <v>3</v>
      </c>
      <c r="B5" s="37"/>
      <c r="D5" s="31" t="s">
        <v>5</v>
      </c>
      <c r="E5" s="31"/>
      <c r="H5" s="31" t="s">
        <v>5</v>
      </c>
      <c r="I5" s="31"/>
    </row>
    <row r="6" spans="1:9" ht="12.75">
      <c r="A6" s="2" t="s">
        <v>0</v>
      </c>
      <c r="B6" s="25">
        <v>104</v>
      </c>
      <c r="D6" s="14" t="s">
        <v>6</v>
      </c>
      <c r="E6" s="17">
        <f>1/(LN((12.2*$B$13)/$B$7))</f>
        <v>0.17244837494086843</v>
      </c>
      <c r="H6" s="14" t="s">
        <v>6</v>
      </c>
      <c r="I6" s="17">
        <f>1/(LN((12.2*$B$13)/$B$7))</f>
        <v>0.17244837494086843</v>
      </c>
    </row>
    <row r="7" spans="1:9" ht="12.75">
      <c r="A7" s="2" t="s">
        <v>1</v>
      </c>
      <c r="B7" s="25">
        <v>0.056</v>
      </c>
      <c r="D7" s="14" t="s">
        <v>7</v>
      </c>
      <c r="E7" s="15">
        <v>0.2</v>
      </c>
      <c r="H7" s="14" t="s">
        <v>7</v>
      </c>
      <c r="I7" s="15">
        <v>0.133</v>
      </c>
    </row>
    <row r="8" spans="1:9" ht="12.75">
      <c r="A8" s="3" t="s">
        <v>2</v>
      </c>
      <c r="B8" s="26" t="s">
        <v>89</v>
      </c>
      <c r="D8" s="14" t="s">
        <v>8</v>
      </c>
      <c r="E8" s="15">
        <f>2/(5+6*E6)</f>
        <v>0.3314171759051897</v>
      </c>
      <c r="H8" s="14" t="s">
        <v>8</v>
      </c>
      <c r="I8" s="15">
        <f>1/(3*I6+2)</f>
        <v>0.3972439019740962</v>
      </c>
    </row>
    <row r="9" spans="1:9" ht="15.75">
      <c r="A9" s="4" t="s">
        <v>22</v>
      </c>
      <c r="B9" s="27">
        <v>0.047</v>
      </c>
      <c r="D9" s="14" t="s">
        <v>9</v>
      </c>
      <c r="E9" s="15">
        <f>(6*E6)/(5+6*E6)</f>
        <v>0.1714570602370257</v>
      </c>
      <c r="H9" s="14" t="s">
        <v>9</v>
      </c>
      <c r="I9" s="15">
        <f>(6*I6-1)/(6*I6+4)</f>
        <v>0.006890245064759486</v>
      </c>
    </row>
    <row r="10" spans="3:9" ht="12.75">
      <c r="C10" s="1"/>
      <c r="D10" s="14" t="s">
        <v>10</v>
      </c>
      <c r="E10" s="15">
        <f>-1/(5+6*E6)</f>
        <v>-0.16570858795259485</v>
      </c>
      <c r="H10" s="14" t="s">
        <v>10</v>
      </c>
      <c r="I10" s="15">
        <f>-1/(6*I6+4)</f>
        <v>-0.1986219509870481</v>
      </c>
    </row>
    <row r="11" spans="4:9" ht="12.75">
      <c r="D11" s="14" t="s">
        <v>4</v>
      </c>
      <c r="E11" s="16" t="e">
        <f>(E7)*(B6^E8)*(B7^E9)*(B8^E10)</f>
        <v>#VALUE!</v>
      </c>
      <c r="H11" s="14" t="s">
        <v>4</v>
      </c>
      <c r="I11" s="18">
        <f>(I7)*(B6^I8)*(B7^I9)*(B9^I10)</f>
        <v>1.5143667237104257</v>
      </c>
    </row>
    <row r="12" spans="1:9" ht="12.75">
      <c r="A12" s="37" t="s">
        <v>17</v>
      </c>
      <c r="B12" s="37">
        <v>-4.253478880714396E+27</v>
      </c>
      <c r="D12" s="14" t="s">
        <v>11</v>
      </c>
      <c r="E12" s="14" t="e">
        <f>((E11-$B$13)/E11)*100</f>
        <v>#VALUE!</v>
      </c>
      <c r="H12" s="14" t="s">
        <v>11</v>
      </c>
      <c r="I12" s="14">
        <f>((I11-$B$13)/I11)*100</f>
        <v>-1.286960657766531E-06</v>
      </c>
    </row>
    <row r="13" spans="1:2" ht="12.75">
      <c r="A13" s="2" t="s">
        <v>4</v>
      </c>
      <c r="B13" s="28">
        <v>1.5143667431997296</v>
      </c>
    </row>
    <row r="14" spans="4:9" ht="12.75">
      <c r="D14" s="31" t="s">
        <v>12</v>
      </c>
      <c r="E14" s="31"/>
      <c r="H14" s="31" t="s">
        <v>12</v>
      </c>
      <c r="I14" s="31"/>
    </row>
    <row r="15" spans="4:9" ht="12.75">
      <c r="D15" s="14" t="s">
        <v>6</v>
      </c>
      <c r="E15" s="15">
        <f>E6</f>
        <v>0.17244837494086843</v>
      </c>
      <c r="H15" s="14" t="s">
        <v>6</v>
      </c>
      <c r="I15" s="15">
        <f>I6</f>
        <v>0.17244837494086843</v>
      </c>
    </row>
    <row r="16" spans="4:9" ht="12.75">
      <c r="D16" s="14" t="s">
        <v>7</v>
      </c>
      <c r="E16" s="15">
        <f>1.33</f>
        <v>1.33</v>
      </c>
      <c r="H16" s="14" t="s">
        <v>7</v>
      </c>
      <c r="I16" s="15">
        <v>0.512</v>
      </c>
    </row>
    <row r="17" spans="4:9" ht="12.75">
      <c r="D17" s="14" t="s">
        <v>8</v>
      </c>
      <c r="E17" s="15">
        <f>(2+4*E15)/(5+6*E15)</f>
        <v>0.4457218827298735</v>
      </c>
      <c r="H17" s="14" t="s">
        <v>8</v>
      </c>
      <c r="I17" s="15">
        <f>(2*I15+1)/(3*I15+2)</f>
        <v>0.5342520326753012</v>
      </c>
    </row>
    <row r="18" spans="4:9" ht="12.75">
      <c r="D18" s="14" t="s">
        <v>9</v>
      </c>
      <c r="E18" s="15">
        <f>(-4*E15)/(5+6*E15)</f>
        <v>-0.1143047068246838</v>
      </c>
      <c r="H18" s="14" t="s">
        <v>9</v>
      </c>
      <c r="I18" s="15">
        <f>(-4*I15-1)/(6*I15+4)</f>
        <v>-0.33563008168825315</v>
      </c>
    </row>
    <row r="19" spans="4:9" ht="12.75">
      <c r="D19" s="14" t="s">
        <v>10</v>
      </c>
      <c r="E19" s="15">
        <f>(-1-2*E15)/(5+6*E15)</f>
        <v>-0.22286094136493675</v>
      </c>
      <c r="H19" s="14" t="s">
        <v>10</v>
      </c>
      <c r="I19" s="15">
        <f>(-2*I15-1)/(6*I15+4)</f>
        <v>-0.2671260163376506</v>
      </c>
    </row>
    <row r="20" spans="4:9" ht="12.75">
      <c r="D20" s="14" t="s">
        <v>16</v>
      </c>
      <c r="E20" s="16" t="e">
        <f>(E16)*(B6^E17)*(B7^E18)*(B8^E19)</f>
        <v>#VALUE!</v>
      </c>
      <c r="H20" s="14" t="s">
        <v>16</v>
      </c>
      <c r="I20" s="18">
        <f>(I16)*(B6^I17)*(B7^I18)*(B9^I19)</f>
        <v>36.45331987657659</v>
      </c>
    </row>
    <row r="22" spans="4:9" ht="12.75">
      <c r="D22" s="31" t="s">
        <v>13</v>
      </c>
      <c r="E22" s="31"/>
      <c r="H22" s="31" t="s">
        <v>13</v>
      </c>
      <c r="I22" s="31"/>
    </row>
    <row r="23" spans="4:9" ht="12.75">
      <c r="D23" s="14" t="s">
        <v>6</v>
      </c>
      <c r="E23" s="15">
        <f>E6</f>
        <v>0.17244837494086843</v>
      </c>
      <c r="H23" s="14" t="s">
        <v>6</v>
      </c>
      <c r="I23" s="15">
        <f>I6</f>
        <v>0.17244837494086843</v>
      </c>
    </row>
    <row r="24" spans="4:9" ht="12.75">
      <c r="D24" s="14" t="s">
        <v>7</v>
      </c>
      <c r="E24" s="15">
        <v>3.76</v>
      </c>
      <c r="H24" s="14" t="s">
        <v>7</v>
      </c>
      <c r="I24" s="15">
        <v>14.7</v>
      </c>
    </row>
    <row r="25" spans="4:9" ht="12.75">
      <c r="D25" s="14" t="s">
        <v>8</v>
      </c>
      <c r="E25" s="15">
        <f>(1+2*E23)/(5+6*E23)</f>
        <v>0.22286094136493675</v>
      </c>
      <c r="H25" s="14" t="s">
        <v>8</v>
      </c>
      <c r="I25" s="15">
        <f>I23/(3*I23+2)</f>
        <v>0.06850406535060252</v>
      </c>
    </row>
    <row r="26" spans="4:9" ht="12.75">
      <c r="D26" s="14" t="s">
        <v>9</v>
      </c>
      <c r="E26" s="15">
        <f>(-2*E23)/(5+6*E23)</f>
        <v>-0.0571523534123419</v>
      </c>
      <c r="H26" s="14" t="s">
        <v>9</v>
      </c>
      <c r="I26" s="15">
        <f>(2-2*I23)/(6*I23+4)</f>
        <v>0.3287398366234937</v>
      </c>
    </row>
    <row r="27" spans="4:9" ht="12.75">
      <c r="D27" s="14" t="s">
        <v>10</v>
      </c>
      <c r="E27" s="15">
        <f>(2+2*E23)/(5+6*E23)</f>
        <v>0.38856952931753164</v>
      </c>
      <c r="H27" s="14" t="s">
        <v>10</v>
      </c>
      <c r="I27" s="15">
        <f>(2*I23+2)/(6*I23+4)</f>
        <v>0.46574796732469875</v>
      </c>
    </row>
    <row r="28" spans="4:9" ht="12.75">
      <c r="D28" s="14" t="s">
        <v>14</v>
      </c>
      <c r="E28" s="16" t="e">
        <f>(E24)*(B6^E25)*(B7^E26)*(B8^E27)</f>
        <v>#VALUE!</v>
      </c>
      <c r="H28" s="14" t="s">
        <v>14</v>
      </c>
      <c r="I28" s="18">
        <f>(I24)*(B6^I25)*(B7^I26)*(B9^I27)</f>
        <v>1.8858369095303886</v>
      </c>
    </row>
    <row r="30" spans="4:9" ht="12.75">
      <c r="D30" s="31" t="s">
        <v>15</v>
      </c>
      <c r="E30" s="31"/>
      <c r="H30" s="31" t="s">
        <v>20</v>
      </c>
      <c r="I30" s="31"/>
    </row>
    <row r="31" spans="4:9" ht="12.75">
      <c r="D31" s="14" t="s">
        <v>6</v>
      </c>
      <c r="E31" s="15">
        <f>E6</f>
        <v>0.17244837494086843</v>
      </c>
      <c r="H31" s="14" t="s">
        <v>6</v>
      </c>
      <c r="I31" s="15">
        <f>I6</f>
        <v>0.17244837494086843</v>
      </c>
    </row>
    <row r="32" spans="4:9" ht="12.75">
      <c r="D32" s="14" t="s">
        <v>7</v>
      </c>
      <c r="E32" s="15">
        <v>0.121</v>
      </c>
      <c r="H32" s="14" t="s">
        <v>7</v>
      </c>
      <c r="I32" s="15">
        <v>12.4</v>
      </c>
    </row>
    <row r="33" spans="4:9" ht="12.75">
      <c r="D33" s="14" t="s">
        <v>8</v>
      </c>
      <c r="E33" s="15">
        <f>(2)/(5+6*E31)</f>
        <v>0.3314171759051897</v>
      </c>
      <c r="H33" s="14" t="s">
        <v>8</v>
      </c>
      <c r="I33" s="15">
        <f>-1/(3*I31+2)</f>
        <v>-0.3972439019740962</v>
      </c>
    </row>
    <row r="34" spans="4:9" ht="12.75">
      <c r="D34" s="14" t="s">
        <v>9</v>
      </c>
      <c r="E34" s="15">
        <f>(-5)/(5+6*E31)</f>
        <v>-0.8285429397629743</v>
      </c>
      <c r="H34" s="14" t="s">
        <v>9</v>
      </c>
      <c r="I34" s="15">
        <f>5/(6*I31+4)</f>
        <v>0.9931097549352406</v>
      </c>
    </row>
    <row r="35" spans="4:9" ht="12.75">
      <c r="D35" s="14" t="s">
        <v>10</v>
      </c>
      <c r="E35" s="15">
        <f>(4+6*E31)/(5+6*E31)</f>
        <v>0.8342914120474051</v>
      </c>
      <c r="H35" s="14" t="s">
        <v>10</v>
      </c>
      <c r="I35" s="15">
        <f>(6*I31+5)/(6*I31+4)</f>
        <v>1.1986219509870482</v>
      </c>
    </row>
    <row r="36" spans="4:9" ht="12.75">
      <c r="D36" s="20" t="s">
        <v>23</v>
      </c>
      <c r="E36" s="21" t="e">
        <f>(E32)*(B6^E33)*(B7^E34)*(B8^E35)</f>
        <v>#VALUE!</v>
      </c>
      <c r="H36" s="14" t="s">
        <v>21</v>
      </c>
      <c r="I36" s="19">
        <f>(I32)*(B6^I33)*(B7^I34)*(B9^I35)</f>
        <v>0.002866342961739577</v>
      </c>
    </row>
    <row r="38" ht="12.75">
      <c r="A38" s="29" t="s">
        <v>91</v>
      </c>
    </row>
    <row r="39" ht="12.75">
      <c r="A39" t="s">
        <v>92</v>
      </c>
    </row>
    <row r="40" ht="12.75">
      <c r="A40" t="s">
        <v>93</v>
      </c>
    </row>
    <row r="41" ht="12.75">
      <c r="A41" t="s">
        <v>94</v>
      </c>
    </row>
    <row r="42" ht="12.75">
      <c r="A42" t="s">
        <v>95</v>
      </c>
    </row>
    <row r="44" ht="12.75">
      <c r="A44" s="29" t="s">
        <v>90</v>
      </c>
    </row>
  </sheetData>
  <sheetProtection password="DE9D" sheet="1" objects="1" scenarios="1"/>
  <mergeCells count="14">
    <mergeCell ref="D1:I1"/>
    <mergeCell ref="H22:I22"/>
    <mergeCell ref="H30:I30"/>
    <mergeCell ref="D2:I2"/>
    <mergeCell ref="D3:E3"/>
    <mergeCell ref="H3:I3"/>
    <mergeCell ref="H5:I5"/>
    <mergeCell ref="H14:I14"/>
    <mergeCell ref="D22:E22"/>
    <mergeCell ref="D30:E30"/>
    <mergeCell ref="A5:B5"/>
    <mergeCell ref="A12:B12"/>
    <mergeCell ref="D5:E5"/>
    <mergeCell ref="D14:E14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A20"/>
  <sheetViews>
    <sheetView workbookViewId="0" topLeftCell="A1">
      <selection activeCell="B3" sqref="B3"/>
    </sheetView>
  </sheetViews>
  <sheetFormatPr defaultColWidth="9.140625" defaultRowHeight="12.75"/>
  <cols>
    <col min="1" max="1" width="85.140625" style="0" customWidth="1"/>
  </cols>
  <sheetData>
    <row r="1" ht="25.5">
      <c r="A1" s="22" t="s">
        <v>49</v>
      </c>
    </row>
    <row r="3" ht="15.75">
      <c r="A3" s="5" t="s">
        <v>50</v>
      </c>
    </row>
    <row r="4" ht="15.75">
      <c r="A4" s="5" t="s">
        <v>51</v>
      </c>
    </row>
    <row r="5" ht="15.75">
      <c r="A5" s="5" t="s">
        <v>52</v>
      </c>
    </row>
    <row r="6" ht="15.75">
      <c r="A6" s="5" t="s">
        <v>53</v>
      </c>
    </row>
    <row r="7" ht="15.75">
      <c r="A7" s="5" t="s">
        <v>54</v>
      </c>
    </row>
    <row r="8" ht="18.75">
      <c r="A8" s="24" t="s">
        <v>55</v>
      </c>
    </row>
    <row r="9" ht="15.75">
      <c r="A9" s="5" t="s">
        <v>56</v>
      </c>
    </row>
    <row r="10" ht="15.75">
      <c r="A10" s="5" t="s">
        <v>81</v>
      </c>
    </row>
    <row r="11" ht="15.75">
      <c r="A11" s="5" t="s">
        <v>82</v>
      </c>
    </row>
    <row r="12" ht="15.75">
      <c r="A12" s="5" t="s">
        <v>83</v>
      </c>
    </row>
    <row r="13" ht="15.75">
      <c r="A13" s="5" t="s">
        <v>57</v>
      </c>
    </row>
    <row r="14" ht="18.75">
      <c r="A14" s="5" t="s">
        <v>58</v>
      </c>
    </row>
    <row r="15" ht="18.75">
      <c r="A15" s="24" t="s">
        <v>59</v>
      </c>
    </row>
    <row r="16" ht="18.75">
      <c r="A16" s="5" t="s">
        <v>60</v>
      </c>
    </row>
    <row r="17" ht="15.75">
      <c r="A17" s="5" t="s">
        <v>61</v>
      </c>
    </row>
    <row r="18" ht="15.75">
      <c r="A18" s="5" t="s">
        <v>62</v>
      </c>
    </row>
    <row r="19" ht="15.75">
      <c r="A19" s="24" t="s">
        <v>63</v>
      </c>
    </row>
    <row r="20" ht="15.75">
      <c r="A20" s="5" t="s">
        <v>64</v>
      </c>
    </row>
  </sheetData>
  <sheetProtection password="DE9D" sheet="1" objects="1" scenarios="1"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Colorado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ENS User</dc:creator>
  <cp:keywords/>
  <dc:description/>
  <cp:lastModifiedBy>pierre</cp:lastModifiedBy>
  <cp:lastPrinted>2003-03-27T01:28:29Z</cp:lastPrinted>
  <dcterms:created xsi:type="dcterms:W3CDTF">2003-03-17T18:28:52Z</dcterms:created>
  <dcterms:modified xsi:type="dcterms:W3CDTF">2003-04-10T16:52:52Z</dcterms:modified>
  <cp:category/>
  <cp:version/>
  <cp:contentType/>
  <cp:contentStatus/>
</cp:coreProperties>
</file>