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2885" windowHeight="7620" tabRatio="983" activeTab="0"/>
  </bookViews>
  <sheets>
    <sheet name="Problem Statement" sheetId="1" r:id="rId1"/>
    <sheet name="Input-Sediment Yield" sheetId="2" r:id="rId2"/>
    <sheet name="Results Summary-Sediment Yield" sheetId="3" r:id="rId3"/>
    <sheet name=" Peak Discharge Calculation" sheetId="4" r:id="rId4"/>
    <sheet name="Algorithm-Sediment Yield" sheetId="5" r:id="rId5"/>
    <sheet name="Alogrithm-Peak Discharge" sheetId="6" r:id="rId6"/>
    <sheet name="K, C and P Values" sheetId="7" r:id="rId7"/>
    <sheet name="Figure 3.27" sheetId="8" r:id="rId8"/>
    <sheet name="Validation" sheetId="9" r:id="rId9"/>
  </sheets>
  <definedNames>
    <definedName name="_xlnm.Print_Titles" localSheetId="0">'Problem Statement'!$1:$1</definedName>
  </definedNames>
  <calcPr fullCalcOnLoad="1"/>
</workbook>
</file>

<file path=xl/sharedStrings.xml><?xml version="1.0" encoding="utf-8"?>
<sst xmlns="http://schemas.openxmlformats.org/spreadsheetml/2006/main" count="116" uniqueCount="81">
  <si>
    <t>Programmer:</t>
  </si>
  <si>
    <t>Date:</t>
  </si>
  <si>
    <t>Purpose:</t>
  </si>
  <si>
    <t>References:</t>
  </si>
  <si>
    <t>[m]</t>
  </si>
  <si>
    <t>[m/s]</t>
  </si>
  <si>
    <t>Model Validation</t>
  </si>
  <si>
    <t>SI</t>
  </si>
  <si>
    <t>Christine Rohrer</t>
  </si>
  <si>
    <t>[ft]</t>
  </si>
  <si>
    <t>for each required</t>
  </si>
  <si>
    <r>
      <t xml:space="preserve">Enter </t>
    </r>
    <r>
      <rPr>
        <b/>
        <i/>
        <sz val="12"/>
        <rFont val="Times New Roman"/>
        <family val="1"/>
      </rPr>
      <t>one</t>
    </r>
    <r>
      <rPr>
        <i/>
        <sz val="12"/>
        <rFont val="Times New Roman"/>
        <family val="1"/>
      </rPr>
      <t xml:space="preserve"> value</t>
    </r>
  </si>
  <si>
    <t>English</t>
  </si>
  <si>
    <t>input type.</t>
  </si>
  <si>
    <t>(in either</t>
  </si>
  <si>
    <t>SI or English)</t>
  </si>
  <si>
    <t>Summary of Results:</t>
  </si>
  <si>
    <r>
      <t>Drainage Area, A</t>
    </r>
    <r>
      <rPr>
        <b/>
        <vertAlign val="subscript"/>
        <sz val="12"/>
        <rFont val="Times New Roman"/>
        <family val="1"/>
      </rPr>
      <t>t</t>
    </r>
  </si>
  <si>
    <t>Calculated Values:</t>
  </si>
  <si>
    <t>Average Runoff Length, L</t>
  </si>
  <si>
    <r>
      <t>Highest Watershed Elevation, H</t>
    </r>
    <r>
      <rPr>
        <b/>
        <vertAlign val="subscript"/>
        <sz val="12"/>
        <rFont val="Times New Roman"/>
        <family val="1"/>
      </rPr>
      <t>1</t>
    </r>
  </si>
  <si>
    <r>
      <t>Lowest Watershed Elevation, H</t>
    </r>
    <r>
      <rPr>
        <b/>
        <vertAlign val="subscript"/>
        <sz val="12"/>
        <rFont val="Times New Roman"/>
        <family val="1"/>
      </rPr>
      <t>2</t>
    </r>
  </si>
  <si>
    <t>Average Rainfall Intensity, I</t>
  </si>
  <si>
    <r>
      <t>Runoff coefficient, C</t>
    </r>
    <r>
      <rPr>
        <b/>
        <vertAlign val="subscript"/>
        <sz val="12"/>
        <rFont val="Times New Roman"/>
        <family val="1"/>
      </rPr>
      <t>r</t>
    </r>
  </si>
  <si>
    <t>Soil erodibility factor, K</t>
  </si>
  <si>
    <t>Cropping management factor, C</t>
  </si>
  <si>
    <t>Conservation practice factor, P</t>
  </si>
  <si>
    <t>Sediment Yield, Y</t>
  </si>
  <si>
    <t>Slope, S</t>
  </si>
  <si>
    <r>
      <t>Sediment-delivery ratio, S</t>
    </r>
    <r>
      <rPr>
        <b/>
        <vertAlign val="subscript"/>
        <sz val="12"/>
        <rFont val="Times New Roman"/>
        <family val="1"/>
      </rPr>
      <t>DR</t>
    </r>
  </si>
  <si>
    <r>
      <t>Watershed-size correction factor, Q</t>
    </r>
    <r>
      <rPr>
        <b/>
        <vertAlign val="subscript"/>
        <sz val="12"/>
        <rFont val="Times New Roman"/>
        <family val="1"/>
      </rPr>
      <t>e</t>
    </r>
  </si>
  <si>
    <t>Summary of Input Data and Calculated Values:</t>
  </si>
  <si>
    <r>
      <t>Average precipitation, h</t>
    </r>
    <r>
      <rPr>
        <b/>
        <vertAlign val="subscript"/>
        <sz val="12"/>
        <rFont val="Times New Roman"/>
        <family val="1"/>
      </rPr>
      <t>r</t>
    </r>
  </si>
  <si>
    <r>
      <t xml:space="preserve">Julien, P.Y. 2002. </t>
    </r>
    <r>
      <rPr>
        <i/>
        <sz val="12"/>
        <rFont val="Times New Roman"/>
        <family val="1"/>
      </rPr>
      <t>River Mechanics</t>
    </r>
    <r>
      <rPr>
        <sz val="12"/>
        <rFont val="Times New Roman"/>
        <family val="1"/>
      </rPr>
      <t>. Cambridge University Press.</t>
    </r>
  </si>
  <si>
    <t>ESTIMATION OF SEDIMENT YIELD
AND PEAK RUNOFF</t>
  </si>
  <si>
    <r>
      <t>[km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</si>
  <si>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>[mi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</si>
  <si>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r>
      <t>Default Values</t>
    </r>
    <r>
      <rPr>
        <u val="single"/>
        <vertAlign val="superscript"/>
        <sz val="12"/>
        <rFont val="Times New Roman"/>
        <family val="1"/>
      </rPr>
      <t>1</t>
    </r>
  </si>
  <si>
    <t>Warnings:</t>
  </si>
  <si>
    <t>Required Model Input for Sediment Yield Calculation:</t>
  </si>
  <si>
    <t>Optional Model Input for Sediment Yield Calculation:</t>
  </si>
  <si>
    <r>
      <t>1</t>
    </r>
    <r>
      <rPr>
        <sz val="12"/>
        <rFont val="Times New Roman"/>
        <family val="1"/>
      </rPr>
      <t xml:space="preserve"> Default values for C</t>
    </r>
    <r>
      <rPr>
        <vertAlign val="subscript"/>
        <sz val="12"/>
        <rFont val="Times New Roman"/>
        <family val="1"/>
      </rPr>
      <t>r,</t>
    </r>
    <r>
      <rPr>
        <sz val="12"/>
        <rFont val="Times New Roman"/>
        <family val="1"/>
      </rPr>
      <t xml:space="preserve"> K, C and P will be used by the program if watershed specific values are not entered.</t>
    </r>
  </si>
  <si>
    <t>[ft/s]</t>
  </si>
  <si>
    <r>
      <t xml:space="preserve">Soil erodibility factor, K </t>
    </r>
    <r>
      <rPr>
        <b/>
        <vertAlign val="superscript"/>
        <sz val="12"/>
        <rFont val="Times New Roman"/>
        <family val="1"/>
      </rPr>
      <t>2</t>
    </r>
  </si>
  <si>
    <r>
      <t xml:space="preserve">Cropping management factor, C </t>
    </r>
    <r>
      <rPr>
        <b/>
        <vertAlign val="superscript"/>
        <sz val="12"/>
        <rFont val="Times New Roman"/>
        <family val="1"/>
      </rPr>
      <t>2</t>
    </r>
  </si>
  <si>
    <r>
      <t xml:space="preserve">Conservation practice factor, P </t>
    </r>
    <r>
      <rPr>
        <b/>
        <vertAlign val="superscript"/>
        <sz val="12"/>
        <rFont val="Times New Roman"/>
        <family val="1"/>
      </rPr>
      <t>2</t>
    </r>
  </si>
  <si>
    <r>
      <t>Watershed-size correction factor, Q</t>
    </r>
    <r>
      <rPr>
        <b/>
        <vertAlign val="subscript"/>
        <sz val="12"/>
        <rFont val="Times New Roman"/>
        <family val="1"/>
      </rPr>
      <t>e</t>
    </r>
    <r>
      <rPr>
        <b/>
        <vertAlign val="superscript"/>
        <sz val="12"/>
        <rFont val="Times New Roman"/>
        <family val="1"/>
      </rPr>
      <t xml:space="preserve"> 3</t>
    </r>
  </si>
  <si>
    <t>[m/yr]</t>
  </si>
  <si>
    <t>[ft/yr]</t>
  </si>
  <si>
    <t>Gross Erosion, E</t>
  </si>
  <si>
    <t>[tons/yr]</t>
  </si>
  <si>
    <r>
      <t>[tons/km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/yr]</t>
    </r>
  </si>
  <si>
    <r>
      <t>[tons-</t>
    </r>
    <r>
      <rPr>
        <i/>
        <sz val="12"/>
        <rFont val="Times New Roman"/>
        <family val="1"/>
      </rPr>
      <t>short</t>
    </r>
    <r>
      <rPr>
        <sz val="12"/>
        <rFont val="Times New Roman"/>
        <family val="1"/>
      </rPr>
      <t>/yr]</t>
    </r>
  </si>
  <si>
    <r>
      <t>[tons-</t>
    </r>
    <r>
      <rPr>
        <i/>
        <sz val="12"/>
        <rFont val="Times New Roman"/>
        <family val="1"/>
      </rPr>
      <t>short</t>
    </r>
    <r>
      <rPr>
        <sz val="12"/>
        <rFont val="Times New Roman"/>
        <family val="1"/>
      </rPr>
      <t>/acre/yr]</t>
    </r>
  </si>
  <si>
    <r>
      <t xml:space="preserve">3 </t>
    </r>
    <r>
      <rPr>
        <sz val="12"/>
        <rFont val="Times New Roman"/>
        <family val="1"/>
      </rPr>
      <t>Watershed-size correction factor must be entered for watersheds &lt; 0.125 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. See Figure 3.27.</t>
    </r>
    <r>
      <rPr>
        <vertAlign val="superscript"/>
        <sz val="12"/>
        <rFont val="Times New Roman"/>
        <family val="1"/>
      </rPr>
      <t xml:space="preserve">
   </t>
    </r>
    <r>
      <rPr>
        <sz val="12"/>
        <rFont val="Times New Roman"/>
        <family val="1"/>
      </rPr>
      <t>For watersheds &gt; 0.125 km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Q</t>
    </r>
    <r>
      <rPr>
        <vertAlign val="subscript"/>
        <sz val="12"/>
        <rFont val="Times New Roman"/>
        <family val="1"/>
      </rPr>
      <t>e</t>
    </r>
    <r>
      <rPr>
        <sz val="12"/>
        <rFont val="Times New Roman"/>
        <family val="1"/>
      </rPr>
      <t xml:space="preserve"> is calculated automatically.</t>
    </r>
  </si>
  <si>
    <r>
      <t>2</t>
    </r>
    <r>
      <rPr>
        <sz val="12"/>
        <rFont val="Times New Roman"/>
        <family val="1"/>
      </rPr>
      <t xml:space="preserve"> See "K, C and P Values" worksheet for appropriate values for these parameters.</t>
    </r>
  </si>
  <si>
    <r>
      <t xml:space="preserve">This workbook is used to calculate sediment yield using the method presented
in </t>
    </r>
    <r>
      <rPr>
        <i/>
        <sz val="12"/>
        <rFont val="Times New Roman"/>
        <family val="1"/>
      </rPr>
      <t>River Mechanics</t>
    </r>
    <r>
      <rPr>
        <sz val="12"/>
        <rFont val="Times New Roman"/>
        <family val="1"/>
      </rPr>
      <t>. (Julien, 2002). This workbook is also used to estimate peak discharge, given a drainage area size.</t>
    </r>
  </si>
  <si>
    <t>Enter one value in either SI or English</t>
  </si>
  <si>
    <t>Summary of Results</t>
  </si>
  <si>
    <t>Peak Specific Discharge, q, is calculated using:</t>
  </si>
  <si>
    <r>
      <t>q = 132 A</t>
    </r>
    <r>
      <rPr>
        <vertAlign val="superscript"/>
        <sz val="10"/>
        <rFont val="Arial"/>
        <family val="2"/>
      </rPr>
      <t>-0.5963</t>
    </r>
  </si>
  <si>
    <t>Where:</t>
  </si>
  <si>
    <r>
      <t>A = Drainage Area [km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</si>
  <si>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q = Peak Specific Discharge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</si>
  <si>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Q = q * A</t>
  </si>
  <si>
    <t>Peak Discharge, Q:</t>
  </si>
  <si>
    <r>
      <t>Drainage Area
[km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[</t>
    </r>
  </si>
  <si>
    <r>
      <t>Peak Specific Discharge
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</si>
  <si>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An exponential regression was performed to create a best fit line for use in estimating peak discharge.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</si>
  <si>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</t>
    </r>
    <r>
      <rPr>
        <sz val="10"/>
        <rFont val="Arial"/>
        <family val="2"/>
      </rPr>
      <t>]</t>
    </r>
  </si>
  <si>
    <t>Peak Discharge, Q</t>
  </si>
  <si>
    <r>
      <t>[ft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/s]</t>
    </r>
  </si>
  <si>
    <t>Peak Specific Discharge, q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</si>
  <si>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/s/km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</si>
  <si>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[ft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/s/mi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]</t>
    </r>
  </si>
  <si>
    <t>INPUT DATA - SEDIMENT YIELD</t>
  </si>
  <si>
    <t>RESULTS SUMMARY - SEDIMENT YIELD</t>
  </si>
  <si>
    <t>INPUT AND RESULTS - PEAK DISCHARGE</t>
  </si>
  <si>
    <t>From the figure at the left, Drainage Area vs Peak Specific Discharge values were identified:</t>
  </si>
  <si>
    <t>This is a summary of the output obtained by running calculations for California Gulch.</t>
  </si>
  <si>
    <r>
      <t>This is a summary of the output obtained by calculating peak discharge for a 100 km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watershed.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</si>
</sst>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"/>
    <numFmt numFmtId="171" formatCode="0.0000"/>
    <numFmt numFmtId="172" formatCode="0.0000000"/>
    <numFmt numFmtId="173" formatCode="0.000000"/>
    <numFmt numFmtId="174" formatCode="0.00000000"/>
    <numFmt numFmtId="175" formatCode="0.000000000"/>
    <numFmt numFmtId="176" formatCode="0.000E+00"/>
    <numFmt numFmtId="177" formatCode="0.0E+00"/>
    <numFmt numFmtId="178" formatCode="#,##0.0"/>
  </numFmts>
  <fonts count="24">
    <font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9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bscript"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"/>
      <family val="0"/>
    </font>
    <font>
      <b/>
      <vertAlign val="superscript"/>
      <sz val="12"/>
      <name val="Times New Roman"/>
      <family val="1"/>
    </font>
    <font>
      <b/>
      <sz val="14"/>
      <color indexed="10"/>
      <name val="Times New Roman"/>
      <family val="1"/>
    </font>
    <font>
      <vertAlign val="subscript"/>
      <sz val="12"/>
      <name val="Times New Roman"/>
      <family val="1"/>
    </font>
    <font>
      <u val="single"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9"/>
      <name val="Arial"/>
      <family val="0"/>
    </font>
    <font>
      <b/>
      <vertAlign val="superscript"/>
      <sz val="9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9" fontId="4" fillId="0" borderId="0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4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/>
    </xf>
    <xf numFmtId="0" fontId="6" fillId="0" borderId="3" xfId="0" applyFont="1" applyBorder="1" applyAlignment="1" applyProtection="1">
      <alignment horizontal="center"/>
      <protection/>
    </xf>
    <xf numFmtId="2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4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>
      <alignment vertical="center"/>
    </xf>
    <xf numFmtId="0" fontId="13" fillId="0" borderId="7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4" fillId="0" borderId="7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2" fontId="4" fillId="0" borderId="7" xfId="0" applyNumberFormat="1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right"/>
      <protection locked="0"/>
    </xf>
    <xf numFmtId="171" fontId="4" fillId="0" borderId="0" xfId="0" applyNumberFormat="1" applyFont="1" applyBorder="1" applyAlignment="1" applyProtection="1">
      <alignment/>
      <protection/>
    </xf>
    <xf numFmtId="171" fontId="4" fillId="0" borderId="1" xfId="0" applyNumberFormat="1" applyFont="1" applyBorder="1" applyAlignment="1" applyProtection="1">
      <alignment/>
      <protection/>
    </xf>
    <xf numFmtId="171" fontId="4" fillId="0" borderId="7" xfId="0" applyNumberFormat="1" applyFont="1" applyBorder="1" applyAlignment="1" applyProtection="1">
      <alignment/>
      <protection/>
    </xf>
    <xf numFmtId="11" fontId="4" fillId="2" borderId="0" xfId="0" applyNumberFormat="1" applyFont="1" applyFill="1" applyBorder="1" applyAlignment="1" applyProtection="1">
      <alignment/>
      <protection locked="0"/>
    </xf>
    <xf numFmtId="11" fontId="4" fillId="2" borderId="0" xfId="0" applyNumberFormat="1" applyFont="1" applyFill="1" applyBorder="1" applyAlignment="1" applyProtection="1">
      <alignment horizontal="right"/>
      <protection locked="0"/>
    </xf>
    <xf numFmtId="11" fontId="4" fillId="0" borderId="0" xfId="0" applyNumberFormat="1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1" fillId="0" borderId="9" xfId="0" applyFont="1" applyBorder="1" applyAlignment="1">
      <alignment horizontal="center" wrapText="1"/>
    </xf>
    <xf numFmtId="1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1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5" xfId="0" applyFont="1" applyBorder="1" applyAlignment="1" applyProtection="1">
      <alignment/>
      <protection/>
    </xf>
    <xf numFmtId="169" fontId="4" fillId="2" borderId="7" xfId="0" applyNumberFormat="1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5" fillId="3" borderId="0" xfId="0" applyFont="1" applyFill="1" applyBorder="1" applyAlignment="1">
      <alignment horizontal="center"/>
    </xf>
    <xf numFmtId="0" fontId="21" fillId="0" borderId="0" xfId="0" applyFont="1" applyAlignment="1">
      <alignment horizontal="left" wrapText="1"/>
    </xf>
    <xf numFmtId="11" fontId="4" fillId="0" borderId="7" xfId="0" applyNumberFormat="1" applyFont="1" applyFill="1" applyBorder="1" applyAlignment="1">
      <alignment/>
    </xf>
    <xf numFmtId="169" fontId="4" fillId="0" borderId="7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1" fontId="4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1" fillId="0" borderId="7" xfId="0" applyFont="1" applyFill="1" applyBorder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4" fillId="0" borderId="9" xfId="0" applyFont="1" applyFill="1" applyBorder="1" applyAlignment="1">
      <alignment wrapText="1"/>
    </xf>
    <xf numFmtId="178" fontId="4" fillId="0" borderId="7" xfId="0" applyNumberFormat="1" applyFont="1" applyBorder="1" applyAlignment="1" applyProtection="1">
      <alignment/>
      <protection/>
    </xf>
    <xf numFmtId="0" fontId="16" fillId="0" borderId="8" xfId="0" applyFont="1" applyBorder="1" applyAlignment="1">
      <alignment horizontal="left"/>
    </xf>
    <xf numFmtId="169" fontId="16" fillId="0" borderId="3" xfId="0" applyNumberFormat="1" applyFont="1" applyBorder="1" applyAlignment="1" applyProtection="1">
      <alignment/>
      <protection/>
    </xf>
    <xf numFmtId="0" fontId="16" fillId="0" borderId="5" xfId="0" applyFont="1" applyBorder="1" applyAlignment="1" applyProtection="1">
      <alignment/>
      <protection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Peak Specific Discharge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q= 132.2A</a:t>
                    </a:r>
                    <a:r>
                      <a:rPr lang="en-US" cap="none" sz="900" b="0" i="0" u="none" baseline="30000"/>
                      <a:t>-0.5963</a:t>
                    </a:r>
                    <a:r>
                      <a:rPr lang="en-US" cap="none" sz="900" b="0" i="0" u="none" baseline="0"/>
                      <a:t>
R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 = 0.9799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'Alogrithm-Peak Discharge'!$I$5:$I$10</c:f>
              <c:numCache>
                <c:ptCount val="6"/>
                <c:pt idx="0">
                  <c:v>10</c:v>
                </c:pt>
                <c:pt idx="1">
                  <c:v>100</c:v>
                </c:pt>
                <c:pt idx="2">
                  <c:v>1000</c:v>
                </c:pt>
                <c:pt idx="3">
                  <c:v>10000</c:v>
                </c:pt>
                <c:pt idx="4">
                  <c:v>100000</c:v>
                </c:pt>
                <c:pt idx="5">
                  <c:v>1000000</c:v>
                </c:pt>
              </c:numCache>
            </c:numRef>
          </c:xVal>
          <c:yVal>
            <c:numRef>
              <c:f>'Alogrithm-Peak Discharge'!$J$5:$J$10</c:f>
              <c:numCache>
                <c:ptCount val="6"/>
                <c:pt idx="0">
                  <c:v>22</c:v>
                </c:pt>
                <c:pt idx="1">
                  <c:v>9</c:v>
                </c:pt>
                <c:pt idx="2">
                  <c:v>3</c:v>
                </c:pt>
                <c:pt idx="3">
                  <c:v>0.9</c:v>
                </c:pt>
                <c:pt idx="4">
                  <c:v>0.12</c:v>
                </c:pt>
                <c:pt idx="5">
                  <c:v>0.025</c:v>
                </c:pt>
              </c:numCache>
            </c:numRef>
          </c:yVal>
          <c:smooth val="1"/>
        </c:ser>
        <c:axId val="42466592"/>
        <c:axId val="46655009"/>
      </c:scatterChart>
      <c:valAx>
        <c:axId val="4246659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Drainage Area (mi</a:t>
                </a:r>
                <a:r>
                  <a:rPr lang="en-US" cap="none" sz="900" b="1" i="0" u="none" baseline="30000"/>
                  <a:t>2</a:t>
                </a:r>
                <a:r>
                  <a:rPr lang="en-US" cap="none" sz="9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5009"/>
        <c:crossesAt val="0.01"/>
        <c:crossBetween val="midCat"/>
        <c:dispUnits/>
      </c:valAx>
      <c:valAx>
        <c:axId val="4665500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Peak Specific Discharge (pi</a:t>
                </a:r>
                <a:r>
                  <a:rPr lang="en-US" cap="none" sz="900" b="1" i="0" u="none" baseline="30000"/>
                  <a:t>3</a:t>
                </a:r>
                <a:r>
                  <a:rPr lang="en-US" cap="none" sz="900" b="1" i="0" u="none" baseline="0"/>
                  <a:t>/s/mi</a:t>
                </a:r>
                <a:r>
                  <a:rPr lang="en-US" cap="none" sz="900" b="1" i="0" u="none" baseline="30000"/>
                  <a:t>2</a:t>
                </a:r>
                <a:r>
                  <a:rPr lang="en-US" cap="none" sz="9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665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114300</xdr:rowOff>
    </xdr:from>
    <xdr:to>
      <xdr:col>7</xdr:col>
      <xdr:colOff>47625</xdr:colOff>
      <xdr:row>39</xdr:row>
      <xdr:rowOff>190500</xdr:rowOff>
    </xdr:to>
    <xdr:graphicFrame>
      <xdr:nvGraphicFramePr>
        <xdr:cNvPr id="1" name="Chart 1"/>
        <xdr:cNvGraphicFramePr/>
      </xdr:nvGraphicFramePr>
      <xdr:xfrm>
        <a:off x="85725" y="4076700"/>
        <a:ext cx="58388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0</xdr:row>
      <xdr:rowOff>9525</xdr:rowOff>
    </xdr:from>
    <xdr:to>
      <xdr:col>6</xdr:col>
      <xdr:colOff>390525</xdr:colOff>
      <xdr:row>18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525"/>
          <a:ext cx="51720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13</xdr:row>
      <xdr:rowOff>190500</xdr:rowOff>
    </xdr:from>
    <xdr:to>
      <xdr:col>5</xdr:col>
      <xdr:colOff>171450</xdr:colOff>
      <xdr:row>23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790825"/>
          <a:ext cx="39243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22</xdr:row>
      <xdr:rowOff>9525</xdr:rowOff>
    </xdr:from>
    <xdr:to>
      <xdr:col>7</xdr:col>
      <xdr:colOff>428625</xdr:colOff>
      <xdr:row>38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4410075"/>
          <a:ext cx="59436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542925</xdr:colOff>
      <xdr:row>2</xdr:row>
      <xdr:rowOff>9525</xdr:rowOff>
    </xdr:from>
    <xdr:to>
      <xdr:col>10</xdr:col>
      <xdr:colOff>704850</xdr:colOff>
      <xdr:row>36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09575"/>
          <a:ext cx="2676525" cy="679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762000</xdr:colOff>
      <xdr:row>0</xdr:row>
      <xdr:rowOff>0</xdr:rowOff>
    </xdr:from>
    <xdr:to>
      <xdr:col>4</xdr:col>
      <xdr:colOff>228600</xdr:colOff>
      <xdr:row>14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0"/>
          <a:ext cx="28194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7</xdr:col>
      <xdr:colOff>714375</xdr:colOff>
      <xdr:row>30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6505575" cy="599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171450</xdr:rowOff>
    </xdr:from>
    <xdr:to>
      <xdr:col>9</xdr:col>
      <xdr:colOff>476250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62075"/>
          <a:ext cx="8343900" cy="6515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39</xdr:row>
      <xdr:rowOff>76200</xdr:rowOff>
    </xdr:from>
    <xdr:to>
      <xdr:col>9</xdr:col>
      <xdr:colOff>419100</xdr:colOff>
      <xdr:row>71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8505825"/>
          <a:ext cx="8296275" cy="6477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B12"/>
  <sheetViews>
    <sheetView showGridLines="0" showRowColHeaders="0" tabSelected="1" workbookViewId="0" topLeftCell="A1">
      <selection activeCell="B4" sqref="B4"/>
    </sheetView>
  </sheetViews>
  <sheetFormatPr defaultColWidth="8.796875" defaultRowHeight="15.75"/>
  <cols>
    <col min="1" max="1" width="10.59765625" style="1" customWidth="1"/>
    <col min="2" max="2" width="58.19921875" style="1" customWidth="1"/>
    <col min="3" max="16384" width="8.796875" style="1" customWidth="1"/>
  </cols>
  <sheetData>
    <row r="1" spans="1:2" ht="25.5" customHeight="1">
      <c r="A1" s="80" t="s">
        <v>34</v>
      </c>
      <c r="B1" s="80"/>
    </row>
    <row r="2" spans="1:2" ht="25.5" customHeight="1">
      <c r="A2" s="80"/>
      <c r="B2" s="80"/>
    </row>
    <row r="4" spans="1:2" ht="15.75">
      <c r="A4" s="2" t="s">
        <v>0</v>
      </c>
      <c r="B4" s="1" t="s">
        <v>8</v>
      </c>
    </row>
    <row r="5" spans="1:2" ht="15.75">
      <c r="A5" s="2" t="s">
        <v>1</v>
      </c>
      <c r="B5" s="4">
        <v>37707</v>
      </c>
    </row>
    <row r="6" spans="1:2" ht="15.75">
      <c r="A6" s="3"/>
      <c r="B6" s="3"/>
    </row>
    <row r="7" spans="1:2" ht="47.25">
      <c r="A7" s="41" t="s">
        <v>2</v>
      </c>
      <c r="B7" s="98" t="s">
        <v>56</v>
      </c>
    </row>
    <row r="8" spans="1:2" ht="15.75">
      <c r="A8" s="3"/>
      <c r="B8" s="3"/>
    </row>
    <row r="9" spans="1:2" ht="15.75">
      <c r="A9" s="34" t="s">
        <v>3</v>
      </c>
      <c r="B9" s="33" t="s">
        <v>33</v>
      </c>
    </row>
    <row r="12" ht="15.75">
      <c r="B12" s="33"/>
    </row>
  </sheetData>
  <mergeCells count="1">
    <mergeCell ref="A1:B2"/>
  </mergeCells>
  <printOptions/>
  <pageMargins left="1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26"/>
    <pageSetUpPr fitToPage="1"/>
  </sheetPr>
  <dimension ref="A1:F27"/>
  <sheetViews>
    <sheetView showGridLines="0" showRowColHeaders="0" workbookViewId="0" topLeftCell="A1">
      <selection activeCell="C7" sqref="C7"/>
    </sheetView>
  </sheetViews>
  <sheetFormatPr defaultColWidth="8.796875" defaultRowHeight="15.75"/>
  <cols>
    <col min="1" max="1" width="15.19921875" style="9" customWidth="1"/>
    <col min="2" max="2" width="27.3984375" style="9" customWidth="1"/>
    <col min="3" max="3" width="8.796875" style="9" customWidth="1"/>
    <col min="4" max="4" width="5.796875" style="9" customWidth="1"/>
    <col min="5" max="5" width="8.796875" style="9" customWidth="1"/>
    <col min="6" max="6" width="6.796875" style="9" customWidth="1"/>
    <col min="7" max="8" width="8.796875" style="9" customWidth="1"/>
    <col min="9" max="9" width="24.5" style="9" customWidth="1"/>
    <col min="10" max="10" width="8.796875" style="9" customWidth="1"/>
    <col min="11" max="11" width="4.59765625" style="9" customWidth="1"/>
    <col min="12" max="12" width="8.796875" style="9" customWidth="1"/>
    <col min="13" max="13" width="5.8984375" style="9" customWidth="1"/>
    <col min="14" max="16384" width="8.796875" style="9" customWidth="1"/>
  </cols>
  <sheetData>
    <row r="1" spans="1:6" ht="27.75" customHeight="1">
      <c r="A1" s="81" t="s">
        <v>75</v>
      </c>
      <c r="B1" s="81"/>
      <c r="C1" s="81"/>
      <c r="D1" s="81"/>
      <c r="E1" s="81"/>
      <c r="F1" s="81"/>
    </row>
    <row r="4" spans="1:6" ht="15.75">
      <c r="A4" s="13" t="s">
        <v>39</v>
      </c>
      <c r="B4" s="8"/>
      <c r="C4" s="8"/>
      <c r="D4" s="8"/>
      <c r="E4" s="8"/>
      <c r="F4" s="8"/>
    </row>
    <row r="5" spans="1:6" ht="15.75">
      <c r="A5" s="23"/>
      <c r="B5" s="10"/>
      <c r="C5" s="10"/>
      <c r="D5" s="10"/>
      <c r="E5" s="10"/>
      <c r="F5" s="11"/>
    </row>
    <row r="6" spans="1:6" ht="15.75">
      <c r="A6" s="12"/>
      <c r="B6" s="8"/>
      <c r="C6" s="82" t="s">
        <v>7</v>
      </c>
      <c r="D6" s="82"/>
      <c r="E6" s="82" t="s">
        <v>12</v>
      </c>
      <c r="F6" s="83"/>
    </row>
    <row r="7" spans="1:6" ht="19.5">
      <c r="A7" s="26" t="s">
        <v>11</v>
      </c>
      <c r="B7" s="13" t="s">
        <v>17</v>
      </c>
      <c r="C7" s="27"/>
      <c r="D7" s="8" t="s">
        <v>35</v>
      </c>
      <c r="E7" s="58"/>
      <c r="F7" s="14" t="s">
        <v>36</v>
      </c>
    </row>
    <row r="8" spans="1:6" ht="15.75">
      <c r="A8" s="26" t="s">
        <v>14</v>
      </c>
      <c r="B8" s="13" t="s">
        <v>19</v>
      </c>
      <c r="C8" s="27"/>
      <c r="D8" s="8" t="s">
        <v>4</v>
      </c>
      <c r="E8" s="58"/>
      <c r="F8" s="14" t="s">
        <v>9</v>
      </c>
    </row>
    <row r="9" spans="1:6" ht="17.25">
      <c r="A9" s="26" t="s">
        <v>15</v>
      </c>
      <c r="B9" s="13" t="s">
        <v>20</v>
      </c>
      <c r="C9" s="27"/>
      <c r="D9" s="8" t="s">
        <v>4</v>
      </c>
      <c r="E9" s="58"/>
      <c r="F9" s="14" t="s">
        <v>9</v>
      </c>
    </row>
    <row r="10" spans="1:6" ht="17.25">
      <c r="A10" s="26" t="s">
        <v>10</v>
      </c>
      <c r="B10" s="13" t="s">
        <v>21</v>
      </c>
      <c r="C10" s="27"/>
      <c r="D10" s="8" t="s">
        <v>4</v>
      </c>
      <c r="E10" s="58"/>
      <c r="F10" s="14" t="s">
        <v>9</v>
      </c>
    </row>
    <row r="11" spans="1:6" ht="15.75">
      <c r="A11" s="26" t="s">
        <v>13</v>
      </c>
      <c r="B11" s="16" t="s">
        <v>22</v>
      </c>
      <c r="C11" s="62"/>
      <c r="D11" s="8" t="s">
        <v>5</v>
      </c>
      <c r="E11" s="63"/>
      <c r="F11" s="14" t="s">
        <v>42</v>
      </c>
    </row>
    <row r="12" spans="1:6" ht="17.25">
      <c r="A12" s="26"/>
      <c r="B12" s="13" t="s">
        <v>32</v>
      </c>
      <c r="C12" s="27"/>
      <c r="D12" s="8" t="s">
        <v>47</v>
      </c>
      <c r="E12" s="31"/>
      <c r="F12" s="14" t="s">
        <v>48</v>
      </c>
    </row>
    <row r="13" spans="1:6" ht="15.75">
      <c r="A13" s="47"/>
      <c r="B13" s="21"/>
      <c r="C13" s="55"/>
      <c r="D13" s="25"/>
      <c r="E13" s="56"/>
      <c r="F13" s="20"/>
    </row>
    <row r="14" spans="1:6" ht="15.75">
      <c r="A14" s="49"/>
      <c r="B14" s="22"/>
      <c r="C14" s="50"/>
      <c r="D14" s="51"/>
      <c r="E14" s="52"/>
      <c r="F14" s="10"/>
    </row>
    <row r="15" spans="1:6" ht="15.75">
      <c r="A15" s="13" t="s">
        <v>40</v>
      </c>
      <c r="B15" s="13"/>
      <c r="C15" s="7"/>
      <c r="D15" s="17"/>
      <c r="E15" s="35"/>
      <c r="F15" s="8"/>
    </row>
    <row r="16" spans="1:6" ht="15.75">
      <c r="A16" s="53"/>
      <c r="B16" s="22"/>
      <c r="C16" s="50"/>
      <c r="D16" s="51"/>
      <c r="E16" s="52"/>
      <c r="F16" s="11"/>
    </row>
    <row r="17" spans="1:6" ht="18.75">
      <c r="A17" s="26"/>
      <c r="B17" s="13"/>
      <c r="C17" s="7"/>
      <c r="D17" s="17"/>
      <c r="E17" s="54" t="s">
        <v>37</v>
      </c>
      <c r="F17" s="14"/>
    </row>
    <row r="18" spans="1:6" ht="17.25">
      <c r="A18" s="15"/>
      <c r="B18" s="13" t="s">
        <v>23</v>
      </c>
      <c r="C18" s="28"/>
      <c r="D18" s="17"/>
      <c r="E18" s="57">
        <v>0.2</v>
      </c>
      <c r="F18" s="14"/>
    </row>
    <row r="19" spans="1:6" ht="18.75">
      <c r="A19" s="15"/>
      <c r="B19" s="13" t="s">
        <v>43</v>
      </c>
      <c r="C19" s="28"/>
      <c r="D19" s="17"/>
      <c r="E19" s="57">
        <v>0.3</v>
      </c>
      <c r="F19" s="14"/>
    </row>
    <row r="20" spans="1:6" ht="18.75">
      <c r="A20" s="15"/>
      <c r="B20" s="13" t="s">
        <v>44</v>
      </c>
      <c r="C20" s="28"/>
      <c r="D20" s="17"/>
      <c r="E20" s="57">
        <v>0.1</v>
      </c>
      <c r="F20" s="14"/>
    </row>
    <row r="21" spans="1:6" ht="18.75">
      <c r="A21" s="15"/>
      <c r="B21" s="13" t="s">
        <v>45</v>
      </c>
      <c r="C21" s="28"/>
      <c r="D21" s="17"/>
      <c r="E21" s="57">
        <v>1</v>
      </c>
      <c r="F21" s="14"/>
    </row>
    <row r="22" spans="1:6" ht="15.75">
      <c r="A22" s="15"/>
      <c r="B22" s="13"/>
      <c r="C22" s="7"/>
      <c r="D22" s="17"/>
      <c r="E22" s="7"/>
      <c r="F22" s="14"/>
    </row>
    <row r="23" spans="1:6" ht="19.5">
      <c r="A23" s="15"/>
      <c r="B23" s="13" t="s">
        <v>46</v>
      </c>
      <c r="C23" s="28"/>
      <c r="D23" s="17"/>
      <c r="E23" s="7"/>
      <c r="F23" s="14"/>
    </row>
    <row r="24" spans="1:6" ht="18.75">
      <c r="A24" s="19"/>
      <c r="B24" s="42">
        <f>IF('Results Summary-Sediment Yield'!C6=0,"",IF('Results Summary-Sediment Yield'!C6&lt;0.125,"Drainage Area &lt; 0.125 square km, enter Qe from Figure 3.27","Do not enter Qe value, Qe will be calculated by program."))</f>
      </c>
      <c r="C24" s="24"/>
      <c r="D24" s="25"/>
      <c r="E24" s="24"/>
      <c r="F24" s="20"/>
    </row>
    <row r="25" spans="1:6" ht="20.25">
      <c r="A25" s="44" t="s">
        <v>41</v>
      </c>
      <c r="B25" s="43"/>
      <c r="C25" s="7"/>
      <c r="D25" s="17"/>
      <c r="E25" s="7"/>
      <c r="F25" s="8"/>
    </row>
    <row r="26" ht="18.75">
      <c r="A26" s="36" t="s">
        <v>55</v>
      </c>
    </row>
    <row r="27" spans="1:6" ht="147.75" customHeight="1">
      <c r="A27" s="84" t="s">
        <v>54</v>
      </c>
      <c r="B27" s="84"/>
      <c r="C27" s="84"/>
      <c r="D27" s="84"/>
      <c r="E27" s="84"/>
      <c r="F27" s="84"/>
    </row>
  </sheetData>
  <mergeCells count="4">
    <mergeCell ref="A1:F1"/>
    <mergeCell ref="C6:D6"/>
    <mergeCell ref="E6:F6"/>
    <mergeCell ref="A27:F27"/>
  </mergeCells>
  <printOptions/>
  <pageMargins left="1" right="0.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34"/>
  <sheetViews>
    <sheetView showGridLines="0" showRowColHeaders="0" workbookViewId="0" topLeftCell="A1">
      <selection activeCell="E37" sqref="E37"/>
    </sheetView>
  </sheetViews>
  <sheetFormatPr defaultColWidth="8.796875" defaultRowHeight="15.75"/>
  <cols>
    <col min="1" max="1" width="15.19921875" style="9" customWidth="1"/>
    <col min="2" max="2" width="27.3984375" style="9" customWidth="1"/>
    <col min="3" max="3" width="8.796875" style="9" customWidth="1"/>
    <col min="4" max="4" width="4.69921875" style="9" customWidth="1"/>
    <col min="5" max="5" width="8.796875" style="9" customWidth="1"/>
    <col min="6" max="6" width="6.796875" style="9" customWidth="1"/>
    <col min="7" max="8" width="8.796875" style="9" customWidth="1"/>
    <col min="9" max="9" width="24.5" style="9" customWidth="1"/>
    <col min="10" max="10" width="8.796875" style="9" customWidth="1"/>
    <col min="11" max="11" width="4.59765625" style="9" customWidth="1"/>
    <col min="12" max="12" width="8.796875" style="9" customWidth="1"/>
    <col min="13" max="13" width="5.8984375" style="9" customWidth="1"/>
    <col min="14" max="16384" width="8.796875" style="9" customWidth="1"/>
  </cols>
  <sheetData>
    <row r="1" spans="1:6" ht="27.75" customHeight="1">
      <c r="A1" s="81" t="s">
        <v>76</v>
      </c>
      <c r="B1" s="81"/>
      <c r="C1" s="81"/>
      <c r="D1" s="81"/>
      <c r="E1" s="81"/>
      <c r="F1" s="81"/>
    </row>
    <row r="4" spans="1:6" ht="15.75">
      <c r="A4" s="13" t="s">
        <v>31</v>
      </c>
      <c r="B4" s="8"/>
      <c r="C4" s="8"/>
      <c r="D4" s="8"/>
      <c r="E4" s="8"/>
      <c r="F4" s="8"/>
    </row>
    <row r="5" spans="1:6" ht="15.75">
      <c r="A5" s="40"/>
      <c r="B5" s="10"/>
      <c r="C5" s="85" t="s">
        <v>7</v>
      </c>
      <c r="D5" s="85"/>
      <c r="E5" s="85" t="s">
        <v>12</v>
      </c>
      <c r="F5" s="86"/>
    </row>
    <row r="6" spans="1:6" ht="19.5">
      <c r="A6" s="26"/>
      <c r="B6" s="13" t="s">
        <v>17</v>
      </c>
      <c r="C6" s="18">
        <f>IF(ISBLANK('Input-Sediment Yield'!E7),'Input-Sediment Yield'!C7,'Input-Sediment Yield'!E7/0.3861)</f>
        <v>0</v>
      </c>
      <c r="D6" s="8" t="s">
        <v>35</v>
      </c>
      <c r="E6" s="18">
        <f>+C6*0.3861</f>
        <v>0</v>
      </c>
      <c r="F6" s="14" t="s">
        <v>36</v>
      </c>
    </row>
    <row r="7" spans="1:6" ht="15.75">
      <c r="A7" s="26"/>
      <c r="B7" s="13" t="s">
        <v>19</v>
      </c>
      <c r="C7" s="18">
        <f>IF(ISBLANK('Input-Sediment Yield'!E8),'Input-Sediment Yield'!C8,'Input-Sediment Yield'!E8*0.3048)</f>
        <v>0</v>
      </c>
      <c r="D7" s="8" t="s">
        <v>4</v>
      </c>
      <c r="E7" s="18">
        <f>+C7/0.3048</f>
        <v>0</v>
      </c>
      <c r="F7" s="14" t="s">
        <v>9</v>
      </c>
    </row>
    <row r="8" spans="1:6" ht="17.25">
      <c r="A8" s="26"/>
      <c r="B8" s="13" t="s">
        <v>20</v>
      </c>
      <c r="C8" s="18">
        <f>IF(ISBLANK('Input-Sediment Yield'!E9),'Input-Sediment Yield'!C9,'Input-Sediment Yield'!E9*0.3048)</f>
        <v>0</v>
      </c>
      <c r="D8" s="8" t="s">
        <v>4</v>
      </c>
      <c r="E8" s="18">
        <f>+C8/0.3048</f>
        <v>0</v>
      </c>
      <c r="F8" s="14" t="s">
        <v>9</v>
      </c>
    </row>
    <row r="9" spans="1:6" ht="17.25">
      <c r="A9" s="26"/>
      <c r="B9" s="13" t="s">
        <v>21</v>
      </c>
      <c r="C9" s="18">
        <f>IF(ISBLANK('Input-Sediment Yield'!E10),'Input-Sediment Yield'!C10,'Input-Sediment Yield'!E10*0.3048)</f>
        <v>0</v>
      </c>
      <c r="D9" s="8" t="s">
        <v>4</v>
      </c>
      <c r="E9" s="18">
        <f>+C9/0.3048</f>
        <v>0</v>
      </c>
      <c r="F9" s="14" t="s">
        <v>9</v>
      </c>
    </row>
    <row r="10" spans="1:6" ht="15.75">
      <c r="A10" s="26"/>
      <c r="B10" s="16" t="s">
        <v>22</v>
      </c>
      <c r="C10" s="64">
        <f>IF(ISBLANK('Input-Sediment Yield'!E11),'Input-Sediment Yield'!C11,'Input-Sediment Yield'!E11*0.3048)</f>
        <v>0</v>
      </c>
      <c r="D10" s="8" t="s">
        <v>5</v>
      </c>
      <c r="E10" s="64">
        <f>+C10/0.3048</f>
        <v>0</v>
      </c>
      <c r="F10" s="14" t="s">
        <v>42</v>
      </c>
    </row>
    <row r="11" spans="1:6" ht="17.25">
      <c r="A11" s="26"/>
      <c r="B11" s="13" t="s">
        <v>32</v>
      </c>
      <c r="C11" s="18">
        <f>IF(ISBLANK('Input-Sediment Yield'!E12),'Input-Sediment Yield'!C12,'Input-Sediment Yield'!E12*0.3048)</f>
        <v>0</v>
      </c>
      <c r="D11" s="8" t="s">
        <v>47</v>
      </c>
      <c r="E11" s="18">
        <f>+C11/0.3048</f>
        <v>0</v>
      </c>
      <c r="F11" s="14" t="s">
        <v>48</v>
      </c>
    </row>
    <row r="12" spans="1:6" ht="15.75">
      <c r="A12" s="26"/>
      <c r="B12" s="16"/>
      <c r="C12" s="39"/>
      <c r="D12" s="17"/>
      <c r="E12" s="35"/>
      <c r="F12" s="30"/>
    </row>
    <row r="13" spans="1:6" ht="17.25">
      <c r="A13" s="15"/>
      <c r="B13" s="13" t="s">
        <v>23</v>
      </c>
      <c r="C13" s="45">
        <f>IF(ISBLANK('Input-Sediment Yield'!C18),'Input-Sediment Yield'!E18,'Input-Sediment Yield'!C18)</f>
        <v>0.2</v>
      </c>
      <c r="D13" s="17"/>
      <c r="E13" s="35"/>
      <c r="F13" s="14"/>
    </row>
    <row r="14" spans="1:6" ht="15.75">
      <c r="A14" s="15"/>
      <c r="B14" s="13" t="s">
        <v>24</v>
      </c>
      <c r="C14" s="45">
        <f>IF(ISBLANK('Input-Sediment Yield'!C19),'Input-Sediment Yield'!E19,'Input-Sediment Yield'!C19)</f>
        <v>0.3</v>
      </c>
      <c r="D14" s="17"/>
      <c r="E14" s="35"/>
      <c r="F14" s="14"/>
    </row>
    <row r="15" spans="1:6" ht="15.75">
      <c r="A15" s="15"/>
      <c r="B15" s="13" t="s">
        <v>25</v>
      </c>
      <c r="C15" s="45">
        <f>IF(ISBLANK('Input-Sediment Yield'!C20),'Input-Sediment Yield'!E20,'Input-Sediment Yield'!C20)</f>
        <v>0.1</v>
      </c>
      <c r="D15" s="17"/>
      <c r="E15" s="35"/>
      <c r="F15" s="14"/>
    </row>
    <row r="16" spans="1:6" ht="15.75">
      <c r="A16" s="19"/>
      <c r="B16" s="21" t="s">
        <v>26</v>
      </c>
      <c r="C16" s="46">
        <f>IF(ISBLANK('Input-Sediment Yield'!C21),'Input-Sediment Yield'!E21,'Input-Sediment Yield'!C21)</f>
        <v>1</v>
      </c>
      <c r="D16" s="25"/>
      <c r="E16" s="24"/>
      <c r="F16" s="20"/>
    </row>
    <row r="18" ht="15.75">
      <c r="A18" s="37" t="s">
        <v>18</v>
      </c>
    </row>
    <row r="19" spans="1:4" ht="17.25">
      <c r="A19" s="38"/>
      <c r="B19" s="22" t="s">
        <v>29</v>
      </c>
      <c r="C19" s="60" t="e">
        <f>0.41*C6^-0.3</f>
        <v>#DIV/0!</v>
      </c>
      <c r="D19" s="11"/>
    </row>
    <row r="20" spans="1:4" ht="17.25">
      <c r="A20" s="15"/>
      <c r="B20" s="13" t="s">
        <v>30</v>
      </c>
      <c r="C20" s="59">
        <f>IF(C6&gt;0.125,0.8*C6^-0.137,'Input-Sediment Yield'!C23)</f>
        <v>0</v>
      </c>
      <c r="D20" s="14"/>
    </row>
    <row r="21" spans="1:4" ht="15.75">
      <c r="A21" s="19"/>
      <c r="B21" s="21" t="s">
        <v>28</v>
      </c>
      <c r="C21" s="61" t="e">
        <f>+(C8-C9)/(1000*SQRT(C6))</f>
        <v>#DIV/0!</v>
      </c>
      <c r="D21" s="20"/>
    </row>
    <row r="23" ht="15.75">
      <c r="A23" s="37" t="s">
        <v>16</v>
      </c>
    </row>
    <row r="24" spans="1:5" ht="15.75">
      <c r="A24" s="38"/>
      <c r="B24" s="22" t="s">
        <v>27</v>
      </c>
      <c r="C24" s="65" t="e">
        <f>+C19*(C6/C20)*340000000000*C7*C21^1.66*C13*C11*C10*C14*C15*C16</f>
        <v>#DIV/0!</v>
      </c>
      <c r="D24" s="10" t="s">
        <v>50</v>
      </c>
      <c r="E24" s="11"/>
    </row>
    <row r="25" spans="1:5" ht="15.75">
      <c r="A25" s="15"/>
      <c r="B25" s="8"/>
      <c r="C25" s="66" t="e">
        <f>+C24/0.90718</f>
        <v>#DIV/0!</v>
      </c>
      <c r="D25" s="8" t="s">
        <v>52</v>
      </c>
      <c r="E25" s="14"/>
    </row>
    <row r="26" spans="1:5" ht="7.5" customHeight="1">
      <c r="A26" s="15"/>
      <c r="B26" s="8"/>
      <c r="C26" s="66"/>
      <c r="D26" s="8"/>
      <c r="E26" s="14"/>
    </row>
    <row r="27" spans="1:5" ht="18.75">
      <c r="A27" s="15"/>
      <c r="B27" s="13" t="s">
        <v>49</v>
      </c>
      <c r="C27" s="66" t="e">
        <f>+C24/C6</f>
        <v>#DIV/0!</v>
      </c>
      <c r="D27" s="8" t="s">
        <v>51</v>
      </c>
      <c r="E27" s="14"/>
    </row>
    <row r="28" spans="1:5" ht="15.75">
      <c r="A28" s="19"/>
      <c r="B28" s="21"/>
      <c r="C28" s="99" t="e">
        <f>+C27/(247.1*0.9708)</f>
        <v>#DIV/0!</v>
      </c>
      <c r="D28" s="48" t="s">
        <v>53</v>
      </c>
      <c r="E28" s="20"/>
    </row>
    <row r="29" spans="1:5" ht="15.75">
      <c r="A29" s="8"/>
      <c r="B29" s="13"/>
      <c r="C29" s="45"/>
      <c r="D29" s="8"/>
      <c r="E29" s="8"/>
    </row>
    <row r="30" ht="15.75">
      <c r="A30" s="37" t="s">
        <v>38</v>
      </c>
    </row>
    <row r="31" spans="1:5" ht="15.75">
      <c r="A31" s="100">
        <f>IF(A32="",IF(A33="",IF(A34="","No Warnings",""),""),"")</f>
      </c>
      <c r="B31" s="10"/>
      <c r="C31" s="10"/>
      <c r="D31" s="10"/>
      <c r="E31" s="11"/>
    </row>
    <row r="32" spans="1:5" ht="15.75">
      <c r="A32" s="101" t="str">
        <f>IF(C6=0,"One or more required values have not been entered. Model results are inaccurate.",IF(C7=0,"One or more required values have not been entered. Model results are inaccurate.",IF(C8=0,"One or more required values have not been entered. Model results are inaccurate.",IF(C9=0,"One or more required values have not been entered. Model results are inaccurate.",IF(C10=0,"One or more required values have not been entered. Model results are inaccurate.",IF(C11=0,"One or more required values have not been entered. Model results are inaccurate.",""))))))</f>
        <v>One or more required values have not been entered. Model results are inaccurate.</v>
      </c>
      <c r="B32" s="8"/>
      <c r="C32" s="8"/>
      <c r="D32" s="8"/>
      <c r="E32" s="14"/>
    </row>
    <row r="33" spans="1:5" ht="15.75">
      <c r="A33" s="101" t="str">
        <f>IF(ISBLANK('Input-Sediment Yield'!C18),"One or more default values have been used. Model results my not be accurate.",IF(ISBLANK('Input-Sediment Yield'!C19),"One or more default values have been used. Model results my not be accurate.",IF(ISBLANK('Input-Sediment Yield'!C20),"One or more default values have been used. Model results my not be accurate.",IF(ISBLANK('Input-Sediment Yield'!C21),"One or more default values have been used. Model results my not be accurate.",""))))</f>
        <v>One or more default values have been used. Model results my not be accurate.</v>
      </c>
      <c r="B33" s="8"/>
      <c r="C33" s="8"/>
      <c r="D33" s="8"/>
      <c r="E33" s="14"/>
    </row>
    <row r="34" spans="1:5" ht="15.75">
      <c r="A34" s="102">
        <f>IF(C8&lt;C9,"Entered value for highest watershed elevation is less than entered value for lowest watershed elelvation. Model results are not accurate.","")</f>
      </c>
      <c r="B34" s="48"/>
      <c r="C34" s="48"/>
      <c r="D34" s="48"/>
      <c r="E34" s="20"/>
    </row>
  </sheetData>
  <mergeCells count="3">
    <mergeCell ref="A1:F1"/>
    <mergeCell ref="C5:D5"/>
    <mergeCell ref="E5:F5"/>
  </mergeCells>
  <printOptions/>
  <pageMargins left="1" right="0.5" top="1" bottom="1" header="0.5" footer="0.5"/>
  <pageSetup fitToHeight="1" fitToWidth="1" horizontalDpi="600" verticalDpi="600" orientation="portrait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5" sqref="B5"/>
    </sheetView>
  </sheetViews>
  <sheetFormatPr defaultColWidth="8.796875" defaultRowHeight="15.75"/>
  <cols>
    <col min="1" max="1" width="20.296875" style="1" customWidth="1"/>
    <col min="2" max="16384" width="8.796875" style="1" customWidth="1"/>
  </cols>
  <sheetData>
    <row r="1" spans="1:6" ht="25.5">
      <c r="A1" s="81" t="s">
        <v>77</v>
      </c>
      <c r="B1" s="81"/>
      <c r="C1" s="81"/>
      <c r="D1" s="81"/>
      <c r="E1" s="81"/>
      <c r="F1" s="81"/>
    </row>
    <row r="2" spans="1:6" ht="25.5">
      <c r="A2" s="97"/>
      <c r="B2" s="97"/>
      <c r="C2" s="97"/>
      <c r="D2" s="97"/>
      <c r="E2" s="97"/>
      <c r="F2" s="97"/>
    </row>
    <row r="3" ht="15.75">
      <c r="A3" s="2" t="s">
        <v>57</v>
      </c>
    </row>
    <row r="4" spans="1:5" ht="15.75">
      <c r="A4" s="73"/>
      <c r="B4" s="85" t="s">
        <v>7</v>
      </c>
      <c r="C4" s="85"/>
      <c r="D4" s="85" t="s">
        <v>12</v>
      </c>
      <c r="E4" s="86"/>
    </row>
    <row r="5" spans="1:5" ht="19.5">
      <c r="A5" s="74" t="s">
        <v>17</v>
      </c>
      <c r="B5" s="75"/>
      <c r="C5" s="48" t="s">
        <v>35</v>
      </c>
      <c r="D5" s="75"/>
      <c r="E5" s="20" t="s">
        <v>36</v>
      </c>
    </row>
    <row r="6" spans="1:5" ht="15.75">
      <c r="A6" s="13"/>
      <c r="B6" s="79"/>
      <c r="C6" s="17"/>
      <c r="D6" s="79"/>
      <c r="E6" s="8"/>
    </row>
    <row r="7" spans="1:5" ht="15.75">
      <c r="A7" s="13"/>
      <c r="B7" s="79"/>
      <c r="C7" s="17"/>
      <c r="D7" s="79"/>
      <c r="E7" s="8"/>
    </row>
    <row r="10" ht="15.75">
      <c r="A10" s="2" t="s">
        <v>58</v>
      </c>
    </row>
    <row r="11" spans="1:5" ht="15.75">
      <c r="A11" s="73"/>
      <c r="B11" s="85" t="s">
        <v>7</v>
      </c>
      <c r="C11" s="85"/>
      <c r="D11" s="85" t="s">
        <v>12</v>
      </c>
      <c r="E11" s="86"/>
    </row>
    <row r="12" spans="1:5" ht="19.5">
      <c r="A12" s="76" t="s">
        <v>17</v>
      </c>
      <c r="B12" s="79">
        <f>IF(ISBLANK(D5),B5,D5*0.3861)</f>
        <v>0</v>
      </c>
      <c r="C12" s="17" t="s">
        <v>35</v>
      </c>
      <c r="D12" s="79">
        <f>+B12*0.3861</f>
        <v>0</v>
      </c>
      <c r="E12" s="14" t="s">
        <v>36</v>
      </c>
    </row>
    <row r="13" spans="1:5" ht="18.75">
      <c r="A13" s="94" t="s">
        <v>72</v>
      </c>
      <c r="B13" s="91" t="e">
        <f>132*' Peak Discharge Calculation'!B12^-0.5963</f>
        <v>#DIV/0!</v>
      </c>
      <c r="C13" s="92" t="s">
        <v>73</v>
      </c>
      <c r="D13" s="93" t="e">
        <f>35.3107*B13/0.3861</f>
        <v>#DIV/0!</v>
      </c>
      <c r="E13" s="95" t="s">
        <v>74</v>
      </c>
    </row>
    <row r="14" spans="1:5" ht="18.75">
      <c r="A14" s="77" t="s">
        <v>70</v>
      </c>
      <c r="B14" s="90" t="e">
        <f>+B13*B12</f>
        <v>#DIV/0!</v>
      </c>
      <c r="C14" s="96" t="s">
        <v>69</v>
      </c>
      <c r="D14" s="89" t="e">
        <f>35.3107*B14</f>
        <v>#DIV/0!</v>
      </c>
      <c r="E14" s="78" t="s">
        <v>71</v>
      </c>
    </row>
  </sheetData>
  <mergeCells count="5">
    <mergeCell ref="A1:F1"/>
    <mergeCell ref="B11:C11"/>
    <mergeCell ref="D11:E11"/>
    <mergeCell ref="B4:C4"/>
    <mergeCell ref="D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J1" sqref="J1"/>
    </sheetView>
  </sheetViews>
  <sheetFormatPr defaultColWidth="8.796875" defaultRowHeight="15.75"/>
  <cols>
    <col min="1" max="16384" width="8.796875" style="1" customWidth="1"/>
  </cols>
  <sheetData/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716196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I2:M22"/>
  <sheetViews>
    <sheetView showGridLines="0" showRowColHeaders="0" workbookViewId="0" topLeftCell="A1">
      <selection activeCell="J1" sqref="J1"/>
    </sheetView>
  </sheetViews>
  <sheetFormatPr defaultColWidth="8.796875" defaultRowHeight="15.75"/>
  <cols>
    <col min="1" max="1" width="8.8984375" style="67" bestFit="1" customWidth="1"/>
    <col min="2" max="16384" width="8.796875" style="67" customWidth="1"/>
  </cols>
  <sheetData>
    <row r="2" spans="9:13" ht="27.75" customHeight="1">
      <c r="I2" s="88" t="s">
        <v>78</v>
      </c>
      <c r="J2" s="88"/>
      <c r="K2" s="88"/>
      <c r="L2" s="88"/>
      <c r="M2" s="88"/>
    </row>
    <row r="4" spans="9:10" ht="39.75">
      <c r="I4" s="68" t="s">
        <v>66</v>
      </c>
      <c r="J4" s="68" t="s">
        <v>67</v>
      </c>
    </row>
    <row r="5" spans="9:10" ht="12.75">
      <c r="I5" s="69">
        <v>10</v>
      </c>
      <c r="J5" s="70">
        <v>22</v>
      </c>
    </row>
    <row r="6" spans="9:10" ht="12.75">
      <c r="I6" s="69">
        <v>100</v>
      </c>
      <c r="J6" s="70">
        <v>9</v>
      </c>
    </row>
    <row r="7" spans="9:10" ht="12.75">
      <c r="I7" s="69">
        <v>1000</v>
      </c>
      <c r="J7" s="70">
        <v>3</v>
      </c>
    </row>
    <row r="8" spans="9:10" ht="12.75">
      <c r="I8" s="69">
        <v>10000</v>
      </c>
      <c r="J8" s="70">
        <v>0.9</v>
      </c>
    </row>
    <row r="9" spans="9:10" ht="12.75">
      <c r="I9" s="69">
        <v>100000</v>
      </c>
      <c r="J9" s="70">
        <v>0.12</v>
      </c>
    </row>
    <row r="10" spans="9:10" ht="12.75">
      <c r="I10" s="71">
        <v>1000000</v>
      </c>
      <c r="J10" s="72">
        <v>0.025</v>
      </c>
    </row>
    <row r="12" spans="9:13" ht="25.5" customHeight="1">
      <c r="I12" s="88" t="s">
        <v>68</v>
      </c>
      <c r="J12" s="88"/>
      <c r="K12" s="88"/>
      <c r="L12" s="88"/>
      <c r="M12" s="88"/>
    </row>
    <row r="14" ht="12.75">
      <c r="I14" s="67" t="s">
        <v>59</v>
      </c>
    </row>
    <row r="15" ht="14.25">
      <c r="I15" s="67" t="s">
        <v>60</v>
      </c>
    </row>
    <row r="17" ht="12.75">
      <c r="I17" s="67" t="s">
        <v>61</v>
      </c>
    </row>
    <row r="18" ht="14.25">
      <c r="I18" s="67" t="s">
        <v>63</v>
      </c>
    </row>
    <row r="19" ht="14.25">
      <c r="I19" s="67" t="s">
        <v>62</v>
      </c>
    </row>
    <row r="21" ht="12.75">
      <c r="I21" s="67" t="s">
        <v>65</v>
      </c>
    </row>
    <row r="22" ht="12.75">
      <c r="I22" s="67" t="s">
        <v>64</v>
      </c>
    </row>
  </sheetData>
  <mergeCells count="2">
    <mergeCell ref="I2:M2"/>
    <mergeCell ref="I12:M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F10" sqref="F10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F10" sqref="F10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J39"/>
  <sheetViews>
    <sheetView workbookViewId="0" topLeftCell="A1">
      <selection activeCell="A40" sqref="A40"/>
    </sheetView>
  </sheetViews>
  <sheetFormatPr defaultColWidth="8.796875" defaultRowHeight="15.75"/>
  <cols>
    <col min="1" max="1" width="13.3984375" style="0" customWidth="1"/>
  </cols>
  <sheetData>
    <row r="1" spans="1:10" s="1" customFormat="1" ht="39" customHeight="1">
      <c r="A1" s="87" t="s">
        <v>6</v>
      </c>
      <c r="B1" s="87"/>
      <c r="C1" s="87"/>
      <c r="D1" s="87"/>
      <c r="E1" s="87"/>
      <c r="F1" s="87"/>
      <c r="G1" s="87"/>
      <c r="H1" s="87"/>
      <c r="I1" s="87"/>
      <c r="J1" s="87"/>
    </row>
    <row r="2" spans="1:7" s="1" customFormat="1" ht="39" customHeight="1">
      <c r="A2" s="103"/>
      <c r="B2" s="103"/>
      <c r="C2" s="103"/>
      <c r="D2" s="103"/>
      <c r="E2" s="103"/>
      <c r="F2" s="103"/>
      <c r="G2" s="103"/>
    </row>
    <row r="3" s="2" customFormat="1" ht="15.75">
      <c r="A3" s="2" t="s">
        <v>79</v>
      </c>
    </row>
    <row r="4" ht="15.75">
      <c r="A4" s="32"/>
    </row>
    <row r="5" ht="15.75">
      <c r="A5" s="32"/>
    </row>
    <row r="6" ht="15.75">
      <c r="A6" s="32"/>
    </row>
    <row r="8" spans="1:2" ht="15.75">
      <c r="A8" s="5"/>
      <c r="B8" s="6"/>
    </row>
    <row r="9" spans="1:2" ht="15.75">
      <c r="A9" s="5"/>
      <c r="B9" s="6"/>
    </row>
    <row r="10" spans="1:2" ht="15.75">
      <c r="A10" s="5"/>
      <c r="B10" s="6"/>
    </row>
    <row r="11" ht="15.75">
      <c r="A11" s="29"/>
    </row>
    <row r="12" ht="15.75">
      <c r="A12" s="3"/>
    </row>
    <row r="13" ht="15.75">
      <c r="A13" s="3"/>
    </row>
    <row r="14" ht="15.75">
      <c r="A14" s="3"/>
    </row>
    <row r="15" spans="1:3" ht="15.75">
      <c r="A15" s="5"/>
      <c r="B15" s="6"/>
      <c r="C15" s="1"/>
    </row>
    <row r="16" spans="1:3" ht="15.75">
      <c r="A16" s="5"/>
      <c r="B16" s="6"/>
      <c r="C16" s="1"/>
    </row>
    <row r="17" spans="1:3" ht="15.75">
      <c r="A17" s="5"/>
      <c r="B17" s="6"/>
      <c r="C17" s="1"/>
    </row>
    <row r="18" ht="15.75">
      <c r="A18" s="29"/>
    </row>
    <row r="19" ht="15.75">
      <c r="A19" s="29"/>
    </row>
    <row r="39" ht="18.75">
      <c r="A39" s="2" t="s">
        <v>80</v>
      </c>
    </row>
  </sheetData>
  <mergeCells count="1">
    <mergeCell ref="A1:J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 Rojas</dc:creator>
  <cp:keywords/>
  <dc:description/>
  <cp:lastModifiedBy>ENS User</cp:lastModifiedBy>
  <cp:lastPrinted>2003-03-27T00:09:25Z</cp:lastPrinted>
  <dcterms:created xsi:type="dcterms:W3CDTF">2002-08-27T15:37:48Z</dcterms:created>
  <dcterms:modified xsi:type="dcterms:W3CDTF">2003-03-27T07:16:29Z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