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60" windowWidth="16128" windowHeight="9888" activeTab="0"/>
  </bookViews>
  <sheets>
    <sheet name="Channel Riprap Design" sheetId="1" r:id="rId1"/>
    <sheet name="Gradation and Filter design" sheetId="2" r:id="rId2"/>
  </sheets>
  <definedNames>
    <definedName name="a_theta">'Channel Riprap Design'!$B$34</definedName>
    <definedName name="Bank_S">'Channel Riprap Design'!$B$13</definedName>
    <definedName name="beta">'Channel Riprap Design'!$B$37</definedName>
    <definedName name="Cap_N">'Channel Riprap Design'!$B$28</definedName>
    <definedName name="dm">'Channel Riprap Design'!$B$21</definedName>
    <definedName name="ds">'Channel Riprap Design'!$B$26</definedName>
    <definedName name="gamma">'Channel Riprap Design'!$B$17</definedName>
    <definedName name="h">'Channel Riprap Design'!$B$11</definedName>
    <definedName name="h_0">'Channel Riprap Design'!$B$36</definedName>
    <definedName name="h_1">'Channel Riprap Design'!$B$38</definedName>
    <definedName name="ho">'Channel Riprap Design'!$B$36</definedName>
    <definedName name="lambda">'Channel Riprap Design'!$B$35</definedName>
    <definedName name="M">'Channel Riprap Design'!$B$27</definedName>
    <definedName name="n">'Channel Riprap Design'!$B$32</definedName>
    <definedName name="phi">'Channel Riprap Design'!$B$15</definedName>
    <definedName name="Radius">'Channel Riprap Design'!$B$25</definedName>
    <definedName name="River_S">'Channel Riprap Design'!$B$31</definedName>
    <definedName name="S">'Channel Riprap Design'!$B$12</definedName>
    <definedName name="SG">'Channel Riprap Design'!$B$14</definedName>
    <definedName name="Shear">'Channel Riprap Design'!$B$20</definedName>
    <definedName name="t_star_c">'Channel Riprap Design'!$B$16</definedName>
    <definedName name="theta">'Channel Riprap Design'!$B$33</definedName>
    <definedName name="W">'Channel Riprap Design'!$B$10</definedName>
  </definedNames>
  <calcPr fullCalcOnLoad="1"/>
</workbook>
</file>

<file path=xl/sharedStrings.xml><?xml version="1.0" encoding="utf-8"?>
<sst xmlns="http://schemas.openxmlformats.org/spreadsheetml/2006/main" count="147" uniqueCount="107">
  <si>
    <t>% finer by weight</t>
  </si>
  <si>
    <r>
      <t>Sieve Diameter (x d</t>
    </r>
    <r>
      <rPr>
        <b/>
        <vertAlign val="subscript"/>
        <sz val="10"/>
        <rFont val="Arial"/>
        <family val="2"/>
      </rPr>
      <t>50</t>
    </r>
    <r>
      <rPr>
        <b/>
        <sz val="10"/>
        <rFont val="Arial"/>
        <family val="2"/>
      </rPr>
      <t>)</t>
    </r>
  </si>
  <si>
    <r>
      <t>Stone Diameter (x d</t>
    </r>
    <r>
      <rPr>
        <b/>
        <vertAlign val="subscript"/>
        <sz val="10"/>
        <rFont val="Arial"/>
        <family val="2"/>
      </rPr>
      <t>50</t>
    </r>
    <r>
      <rPr>
        <b/>
        <sz val="10"/>
        <rFont val="Arial"/>
        <family val="2"/>
      </rPr>
      <t>)</t>
    </r>
  </si>
  <si>
    <t>Maximum</t>
  </si>
  <si>
    <t>Minimum</t>
  </si>
  <si>
    <r>
      <t>d</t>
    </r>
    <r>
      <rPr>
        <vertAlign val="subscript"/>
        <sz val="10"/>
        <rFont val="Arial"/>
        <family val="2"/>
      </rPr>
      <t>50</t>
    </r>
    <r>
      <rPr>
        <sz val="10"/>
        <rFont val="Arial"/>
        <family val="2"/>
      </rPr>
      <t>:</t>
    </r>
  </si>
  <si>
    <t>mm</t>
  </si>
  <si>
    <r>
      <t>p</t>
    </r>
    <r>
      <rPr>
        <vertAlign val="subscript"/>
        <sz val="10"/>
        <rFont val="Arial"/>
        <family val="2"/>
      </rPr>
      <t>0</t>
    </r>
    <r>
      <rPr>
        <sz val="10"/>
        <rFont val="Arial"/>
        <family val="2"/>
      </rPr>
      <t>:</t>
    </r>
  </si>
  <si>
    <r>
      <t>V</t>
    </r>
    <r>
      <rPr>
        <vertAlign val="subscript"/>
        <sz val="10"/>
        <rFont val="Arial"/>
        <family val="2"/>
      </rPr>
      <t>s</t>
    </r>
    <r>
      <rPr>
        <sz val="10"/>
        <rFont val="Arial"/>
        <family val="2"/>
      </rPr>
      <t>:</t>
    </r>
  </si>
  <si>
    <r>
      <t>m</t>
    </r>
    <r>
      <rPr>
        <vertAlign val="superscript"/>
        <sz val="10"/>
        <rFont val="Arial"/>
        <family val="2"/>
      </rPr>
      <t>3</t>
    </r>
  </si>
  <si>
    <r>
      <t>d</t>
    </r>
    <r>
      <rPr>
        <vertAlign val="subscript"/>
        <sz val="10"/>
        <rFont val="Arial"/>
        <family val="2"/>
      </rPr>
      <t>m</t>
    </r>
    <r>
      <rPr>
        <sz val="10"/>
        <rFont val="Arial"/>
        <family val="2"/>
      </rPr>
      <t>:</t>
    </r>
  </si>
  <si>
    <r>
      <t>Volume of the riprap without the d</t>
    </r>
    <r>
      <rPr>
        <vertAlign val="subscript"/>
        <sz val="10"/>
        <rFont val="Arial"/>
        <family val="2"/>
      </rPr>
      <t>15</t>
    </r>
    <r>
      <rPr>
        <sz val="10"/>
        <rFont val="Arial"/>
        <family val="2"/>
      </rPr>
      <t xml:space="preserve"> or finer particles</t>
    </r>
  </si>
  <si>
    <t>Smallest particle for stability under the applied shear</t>
  </si>
  <si>
    <r>
      <t>Representative grain size and recommended value for the design d</t>
    </r>
    <r>
      <rPr>
        <vertAlign val="subscript"/>
        <sz val="10"/>
        <rFont val="Arial"/>
        <family val="2"/>
      </rPr>
      <t>50</t>
    </r>
  </si>
  <si>
    <r>
      <t xml:space="preserve">Porosity of the material without the </t>
    </r>
    <r>
      <rPr>
        <sz val="10"/>
        <rFont val="Arial"/>
        <family val="2"/>
      </rPr>
      <t>d</t>
    </r>
    <r>
      <rPr>
        <vertAlign val="subscript"/>
        <sz val="10"/>
        <rFont val="Arial"/>
        <family val="2"/>
      </rPr>
      <t>15</t>
    </r>
    <r>
      <rPr>
        <sz val="10"/>
        <rFont val="Arial"/>
        <family val="2"/>
      </rPr>
      <t xml:space="preserve"> or finer particles</t>
    </r>
  </si>
  <si>
    <t>Suggested Diameter (mm)</t>
  </si>
  <si>
    <t>Minimum riprap thickness:</t>
  </si>
  <si>
    <t>Minimum riprap thickness (Underwater placement):</t>
  </si>
  <si>
    <t>Minimum riprap thickness (Underwater placement - debris lower Limit):</t>
  </si>
  <si>
    <t>Minimum riprap thickness (Underwater placement - debris upper Limit):</t>
  </si>
  <si>
    <t>Filter Needed?:</t>
  </si>
  <si>
    <r>
      <t>Max d</t>
    </r>
    <r>
      <rPr>
        <vertAlign val="subscript"/>
        <sz val="10"/>
        <rFont val="Arial"/>
        <family val="2"/>
      </rPr>
      <t>15</t>
    </r>
    <r>
      <rPr>
        <sz val="10"/>
        <rFont val="Arial"/>
        <family val="2"/>
      </rPr>
      <t xml:space="preserve"> 1:</t>
    </r>
  </si>
  <si>
    <r>
      <t>Max d</t>
    </r>
    <r>
      <rPr>
        <vertAlign val="subscript"/>
        <sz val="10"/>
        <rFont val="Arial"/>
        <family val="2"/>
      </rPr>
      <t>15</t>
    </r>
    <r>
      <rPr>
        <sz val="10"/>
        <rFont val="Arial"/>
        <family val="2"/>
      </rPr>
      <t xml:space="preserve"> 2:</t>
    </r>
  </si>
  <si>
    <r>
      <t>Min d</t>
    </r>
    <r>
      <rPr>
        <vertAlign val="subscript"/>
        <sz val="10"/>
        <rFont val="Arial"/>
        <family val="2"/>
      </rPr>
      <t>15</t>
    </r>
    <r>
      <rPr>
        <sz val="10"/>
        <rFont val="Arial"/>
        <family val="2"/>
      </rPr>
      <t xml:space="preserve"> 1:</t>
    </r>
  </si>
  <si>
    <r>
      <t>Min d</t>
    </r>
    <r>
      <rPr>
        <vertAlign val="subscript"/>
        <sz val="10"/>
        <rFont val="Arial"/>
        <family val="2"/>
      </rPr>
      <t>15</t>
    </r>
    <r>
      <rPr>
        <sz val="10"/>
        <rFont val="Arial"/>
        <family val="2"/>
      </rPr>
      <t xml:space="preserve"> 2:</t>
    </r>
  </si>
  <si>
    <r>
      <t>Max d</t>
    </r>
    <r>
      <rPr>
        <vertAlign val="subscript"/>
        <sz val="10"/>
        <rFont val="Arial"/>
        <family val="2"/>
      </rPr>
      <t>15</t>
    </r>
    <r>
      <rPr>
        <sz val="10"/>
        <rFont val="Arial"/>
        <family val="2"/>
      </rPr>
      <t xml:space="preserve"> 3:</t>
    </r>
  </si>
  <si>
    <r>
      <t>Min d</t>
    </r>
    <r>
      <rPr>
        <vertAlign val="subscript"/>
        <sz val="10"/>
        <rFont val="Arial"/>
        <family val="2"/>
      </rPr>
      <t>85</t>
    </r>
    <r>
      <rPr>
        <sz val="10"/>
        <rFont val="Arial"/>
        <family val="2"/>
      </rPr>
      <t>:</t>
    </r>
  </si>
  <si>
    <r>
      <t>d</t>
    </r>
    <r>
      <rPr>
        <vertAlign val="subscript"/>
        <sz val="10"/>
        <rFont val="Arial"/>
        <family val="2"/>
      </rPr>
      <t>85</t>
    </r>
    <r>
      <rPr>
        <sz val="10"/>
        <rFont val="Arial"/>
        <family val="2"/>
      </rPr>
      <t xml:space="preserve"> Base:</t>
    </r>
  </si>
  <si>
    <r>
      <t>d</t>
    </r>
    <r>
      <rPr>
        <vertAlign val="subscript"/>
        <sz val="10"/>
        <rFont val="Arial"/>
        <family val="2"/>
      </rPr>
      <t>50</t>
    </r>
    <r>
      <rPr>
        <sz val="10"/>
        <rFont val="Arial"/>
        <family val="2"/>
      </rPr>
      <t xml:space="preserve"> Base:</t>
    </r>
  </si>
  <si>
    <r>
      <t>d</t>
    </r>
    <r>
      <rPr>
        <vertAlign val="subscript"/>
        <sz val="10"/>
        <rFont val="Arial"/>
        <family val="2"/>
      </rPr>
      <t>15</t>
    </r>
    <r>
      <rPr>
        <sz val="10"/>
        <rFont val="Arial"/>
        <family val="2"/>
      </rPr>
      <t xml:space="preserve"> Base:</t>
    </r>
  </si>
  <si>
    <t>Particle where 85% of the material is finer in the base</t>
  </si>
  <si>
    <t>Particle where 50% of the material is finer in the base</t>
  </si>
  <si>
    <t>Particle where 15% of the material is finer in the base</t>
  </si>
  <si>
    <t>Gradation and Filter Design Input</t>
  </si>
  <si>
    <r>
      <t>Table 8.2 in River Mechanics</t>
    </r>
    <r>
      <rPr>
        <b/>
        <i/>
        <vertAlign val="superscript"/>
        <sz val="10"/>
        <rFont val="Arial"/>
        <family val="2"/>
      </rPr>
      <t>*</t>
    </r>
  </si>
  <si>
    <r>
      <t>*</t>
    </r>
    <r>
      <rPr>
        <sz val="10"/>
        <rFont val="Arial"/>
        <family val="2"/>
      </rPr>
      <t>15% and 85% Finer values are interpolated</t>
    </r>
  </si>
  <si>
    <t>W:</t>
  </si>
  <si>
    <t>h:</t>
  </si>
  <si>
    <t>S:</t>
  </si>
  <si>
    <r>
      <t>q</t>
    </r>
    <r>
      <rPr>
        <vertAlign val="subscript"/>
        <sz val="10"/>
        <rFont val="Symbol"/>
        <family val="1"/>
      </rPr>
      <t>1</t>
    </r>
    <r>
      <rPr>
        <sz val="10"/>
        <rFont val="Symbol"/>
        <family val="1"/>
      </rPr>
      <t>:</t>
    </r>
  </si>
  <si>
    <t>m</t>
  </si>
  <si>
    <t>m/m</t>
  </si>
  <si>
    <t>degrees</t>
  </si>
  <si>
    <t>G:</t>
  </si>
  <si>
    <t>f:</t>
  </si>
  <si>
    <t>Critical Shields parameter</t>
  </si>
  <si>
    <r>
      <t>t</t>
    </r>
    <r>
      <rPr>
        <vertAlign val="subscript"/>
        <sz val="10"/>
        <rFont val="Times New Roman"/>
        <family val="1"/>
      </rPr>
      <t>*c</t>
    </r>
    <r>
      <rPr>
        <sz val="10"/>
        <rFont val="Times New Roman"/>
        <family val="1"/>
      </rPr>
      <t>:</t>
    </r>
  </si>
  <si>
    <t>Channel width</t>
  </si>
  <si>
    <t>Flow depth</t>
  </si>
  <si>
    <t>Slope angle of river bank</t>
  </si>
  <si>
    <t>Specific gravity of the riprap</t>
  </si>
  <si>
    <t>Natural angle of repose of the riprap</t>
  </si>
  <si>
    <t>g:</t>
  </si>
  <si>
    <r>
      <t>N/m</t>
    </r>
    <r>
      <rPr>
        <vertAlign val="superscript"/>
        <sz val="10"/>
        <rFont val="Arial"/>
        <family val="2"/>
      </rPr>
      <t>3</t>
    </r>
  </si>
  <si>
    <t>Specific weight of water</t>
  </si>
  <si>
    <r>
      <t>t</t>
    </r>
    <r>
      <rPr>
        <vertAlign val="subscript"/>
        <sz val="10"/>
        <rFont val="Symbol"/>
        <family val="1"/>
      </rPr>
      <t>0</t>
    </r>
    <r>
      <rPr>
        <sz val="10"/>
        <rFont val="Symbol"/>
        <family val="1"/>
      </rPr>
      <t>:</t>
    </r>
  </si>
  <si>
    <t>Pa</t>
  </si>
  <si>
    <t>Shear stress applied on riprap particle</t>
  </si>
  <si>
    <t>Effective riprap size for straight channels</t>
  </si>
  <si>
    <t>Straight Channel Riprap Design</t>
  </si>
  <si>
    <r>
      <t>q</t>
    </r>
    <r>
      <rPr>
        <vertAlign val="subscript"/>
        <sz val="10"/>
        <rFont val="Symbol"/>
        <family val="1"/>
      </rPr>
      <t>0</t>
    </r>
    <r>
      <rPr>
        <sz val="10"/>
        <rFont val="Symbol"/>
        <family val="1"/>
      </rPr>
      <t>:</t>
    </r>
  </si>
  <si>
    <t>Slope angle of the river</t>
  </si>
  <si>
    <t>Slope gradient of river</t>
  </si>
  <si>
    <t>n:</t>
  </si>
  <si>
    <t>Manning's n</t>
  </si>
  <si>
    <t>q:</t>
  </si>
  <si>
    <r>
      <t>a</t>
    </r>
    <r>
      <rPr>
        <vertAlign val="subscript"/>
        <sz val="10"/>
        <rFont val="Symbol"/>
        <family val="1"/>
      </rPr>
      <t>q</t>
    </r>
    <r>
      <rPr>
        <sz val="10"/>
        <rFont val="Symbol"/>
        <family val="1"/>
      </rPr>
      <t>:</t>
    </r>
  </si>
  <si>
    <t>Geometrical parameter</t>
  </si>
  <si>
    <t>R:</t>
  </si>
  <si>
    <t>Radius of curvature of the river bend</t>
  </si>
  <si>
    <t>l:</t>
  </si>
  <si>
    <r>
      <t>d</t>
    </r>
    <r>
      <rPr>
        <vertAlign val="subscript"/>
        <sz val="10"/>
        <rFont val="Arial"/>
        <family val="2"/>
      </rPr>
      <t>s</t>
    </r>
    <r>
      <rPr>
        <sz val="10"/>
        <rFont val="Arial"/>
        <family val="2"/>
      </rPr>
      <t>:</t>
    </r>
  </si>
  <si>
    <r>
      <t>Diameter or riprap particle to analyze (d</t>
    </r>
    <r>
      <rPr>
        <vertAlign val="subscript"/>
        <sz val="10"/>
        <rFont val="Arial"/>
        <family val="2"/>
      </rPr>
      <t>m</t>
    </r>
    <r>
      <rPr>
        <sz val="10"/>
        <rFont val="Arial"/>
        <family val="2"/>
      </rPr>
      <t xml:space="preserve"> from straight channel is a good start)</t>
    </r>
  </si>
  <si>
    <t>River Bend Riprap Input Parameters</t>
  </si>
  <si>
    <t>Straight Channel and River Bend Riprap Input Parameters</t>
  </si>
  <si>
    <t>River Bend Riprap Design</t>
  </si>
  <si>
    <r>
      <t>h</t>
    </r>
    <r>
      <rPr>
        <vertAlign val="subscript"/>
        <sz val="10"/>
        <rFont val="Symbol"/>
        <family val="1"/>
      </rPr>
      <t>0</t>
    </r>
    <r>
      <rPr>
        <sz val="10"/>
        <rFont val="Symbol"/>
        <family val="1"/>
      </rPr>
      <t>:</t>
    </r>
  </si>
  <si>
    <t>M:</t>
  </si>
  <si>
    <t>N:</t>
  </si>
  <si>
    <t>M/N is the list to drag ratio.  M=N may be a good approximation</t>
  </si>
  <si>
    <t>b:</t>
  </si>
  <si>
    <t>Particle orientation angle</t>
  </si>
  <si>
    <r>
      <t>h</t>
    </r>
    <r>
      <rPr>
        <vertAlign val="subscript"/>
        <sz val="10"/>
        <rFont val="Symbol"/>
        <family val="1"/>
      </rPr>
      <t>1</t>
    </r>
    <r>
      <rPr>
        <sz val="10"/>
        <rFont val="Symbol"/>
        <family val="1"/>
      </rPr>
      <t>:</t>
    </r>
  </si>
  <si>
    <t>Stability number</t>
  </si>
  <si>
    <t>Sidelsope stability number for the riprap</t>
  </si>
  <si>
    <t>SF0:</t>
  </si>
  <si>
    <r>
      <t xml:space="preserve">Stability factor for </t>
    </r>
    <r>
      <rPr>
        <sz val="10"/>
        <rFont val="Symbol"/>
        <family val="1"/>
      </rPr>
      <t>l</t>
    </r>
    <r>
      <rPr>
        <sz val="10"/>
        <rFont val="Arial  "/>
        <family val="0"/>
      </rPr>
      <t xml:space="preserve"> &gt; or = 0</t>
    </r>
  </si>
  <si>
    <t>Streamline deviation angle, must be greater than or equal to 0</t>
  </si>
  <si>
    <r>
      <t>Gradation</t>
    </r>
    <r>
      <rPr>
        <b/>
        <vertAlign val="superscript"/>
        <sz val="10"/>
        <rFont val="Arial"/>
        <family val="2"/>
      </rPr>
      <t>*</t>
    </r>
  </si>
  <si>
    <r>
      <t>*</t>
    </r>
    <r>
      <rPr>
        <sz val="10"/>
        <rFont val="Arial"/>
        <family val="2"/>
      </rPr>
      <t xml:space="preserve">Suggested gradation from table 8.2 and page 247 in </t>
    </r>
    <r>
      <rPr>
        <i/>
        <sz val="10"/>
        <rFont val="Arial"/>
        <family val="2"/>
      </rPr>
      <t>River Mechanics</t>
    </r>
  </si>
  <si>
    <r>
      <t>Riprap Thickness</t>
    </r>
    <r>
      <rPr>
        <b/>
        <vertAlign val="superscript"/>
        <sz val="10"/>
        <rFont val="Arial"/>
        <family val="2"/>
      </rPr>
      <t>*</t>
    </r>
  </si>
  <si>
    <r>
      <t>*</t>
    </r>
    <r>
      <rPr>
        <sz val="10"/>
        <rFont val="Arial"/>
        <family val="2"/>
      </rPr>
      <t xml:space="preserve">Suggested from page 247 in </t>
    </r>
    <r>
      <rPr>
        <i/>
        <sz val="10"/>
        <rFont val="Arial"/>
        <family val="2"/>
      </rPr>
      <t>River Mechanics</t>
    </r>
  </si>
  <si>
    <r>
      <t>*</t>
    </r>
    <r>
      <rPr>
        <sz val="10"/>
        <rFont val="Arial"/>
        <family val="2"/>
      </rPr>
      <t xml:space="preserve">Filter criteria from page 248 in </t>
    </r>
    <r>
      <rPr>
        <i/>
        <sz val="10"/>
        <rFont val="Arial"/>
        <family val="2"/>
      </rPr>
      <t>River Mechanics</t>
    </r>
  </si>
  <si>
    <t>Filter Summary</t>
  </si>
  <si>
    <r>
      <t>Max d</t>
    </r>
    <r>
      <rPr>
        <vertAlign val="subscript"/>
        <sz val="10"/>
        <rFont val="Arial"/>
        <family val="2"/>
      </rPr>
      <t>50</t>
    </r>
    <r>
      <rPr>
        <sz val="10"/>
        <rFont val="Arial"/>
        <family val="2"/>
      </rPr>
      <t>:</t>
    </r>
  </si>
  <si>
    <r>
      <t>Max d</t>
    </r>
    <r>
      <rPr>
        <vertAlign val="subscript"/>
        <sz val="10"/>
        <rFont val="Arial"/>
        <family val="2"/>
      </rPr>
      <t>15</t>
    </r>
    <r>
      <rPr>
        <sz val="10"/>
        <rFont val="Arial"/>
        <family val="2"/>
      </rPr>
      <t>:</t>
    </r>
  </si>
  <si>
    <r>
      <t>Min d</t>
    </r>
    <r>
      <rPr>
        <vertAlign val="subscript"/>
        <sz val="10"/>
        <rFont val="Arial"/>
        <family val="2"/>
      </rPr>
      <t>15</t>
    </r>
    <r>
      <rPr>
        <sz val="10"/>
        <rFont val="Arial"/>
        <family val="2"/>
      </rPr>
      <t>:</t>
    </r>
  </si>
  <si>
    <r>
      <t>Filter Design</t>
    </r>
    <r>
      <rPr>
        <b/>
        <vertAlign val="superscript"/>
        <sz val="10"/>
        <rFont val="Arial"/>
        <family val="2"/>
      </rPr>
      <t>*</t>
    </r>
  </si>
  <si>
    <r>
      <t>Min d</t>
    </r>
    <r>
      <rPr>
        <vertAlign val="subscript"/>
        <sz val="10"/>
        <rFont val="Arial"/>
        <family val="2"/>
      </rPr>
      <t>50</t>
    </r>
    <r>
      <rPr>
        <sz val="10"/>
        <rFont val="Arial"/>
        <family val="2"/>
      </rPr>
      <t>:</t>
    </r>
  </si>
  <si>
    <r>
      <t xml:space="preserve">Figure 6.1 in </t>
    </r>
    <r>
      <rPr>
        <i/>
        <sz val="10"/>
        <rFont val="Arial"/>
        <family val="2"/>
      </rPr>
      <t>River Mechanics. Particle stability analysis variables</t>
    </r>
  </si>
  <si>
    <r>
      <t xml:space="preserve">This spreadsheet is a process to assist with proper design of riprap for channel banks based on the shear stress approach outlined in </t>
    </r>
    <r>
      <rPr>
        <i/>
        <sz val="10"/>
        <rFont val="Arial"/>
        <family val="2"/>
      </rPr>
      <t>River Mechanics (pages 240-243, 245-250)</t>
    </r>
    <r>
      <rPr>
        <sz val="10"/>
        <rFont val="Arial"/>
        <family val="0"/>
      </rPr>
      <t>.  Users enter the information in the green cells, Excel performs the calculations, and puts the results in the orange cells.  The only exception is the rirap particale size for river bends (purple).  The user adjusts this value until the stability factor is equal or greater than one.  So it is both an input and an output.  (Hint:  Use Goal Seek or Solver in Excel - look in the 'Tools' Menu).  It is suggested to use the channel riprap design sheet first to determine the median particle size.  Input this into the gradation and filter design sheet.  This last sheet provides a suggested gradation from the U.S. Army Corps of Engineers along with applicable ranges.  It also determines whether a filter is needed, as well as a gradation range for a filter.</t>
    </r>
  </si>
  <si>
    <t>For straight channels, this is all that is needed.</t>
  </si>
  <si>
    <r>
      <t>The porosity and volume of the riprap without the d</t>
    </r>
    <r>
      <rPr>
        <vertAlign val="subscript"/>
        <sz val="10"/>
        <rFont val="Arial"/>
        <family val="2"/>
      </rPr>
      <t>15</t>
    </r>
    <r>
      <rPr>
        <sz val="10"/>
        <rFont val="Arial"/>
        <family val="2"/>
      </rPr>
      <t xml:space="preserve"> particles may be difficult to estimate.  It affects only the Maximum volume computation for the d</t>
    </r>
    <r>
      <rPr>
        <vertAlign val="subscript"/>
        <sz val="10"/>
        <rFont val="Arial"/>
        <family val="2"/>
      </rPr>
      <t xml:space="preserve">15 </t>
    </r>
    <r>
      <rPr>
        <sz val="10"/>
        <rFont val="Arial"/>
        <family val="2"/>
      </rPr>
      <t>particle under gradation.</t>
    </r>
  </si>
  <si>
    <t>Step #1:</t>
  </si>
  <si>
    <t>Optional Step #2:</t>
  </si>
  <si>
    <t>Step #3:</t>
  </si>
  <si>
    <t>Source of information is River Mechanicsby Dr. Pierre Julien, Cambridge University Press, 2002 pages 158-162,  240-250.  Programmed by Todd Rivas for CE 717 at Colorado State University 2003.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</si>
</sst>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8">
    <font>
      <sz val="10"/>
      <name val="Arial"/>
      <family val="0"/>
    </font>
    <font>
      <vertAlign val="subscript"/>
      <sz val="10"/>
      <name val="Arial"/>
      <family val="2"/>
    </font>
    <font>
      <sz val="8"/>
      <name val="Arial"/>
      <family val="0"/>
    </font>
    <font>
      <b/>
      <i/>
      <sz val="10"/>
      <name val="Arial"/>
      <family val="2"/>
    </font>
    <font>
      <b/>
      <sz val="10"/>
      <name val="Arial"/>
      <family val="2"/>
    </font>
    <font>
      <b/>
      <i/>
      <vertAlign val="superscript"/>
      <sz val="10"/>
      <name val="Arial"/>
      <family val="2"/>
    </font>
    <font>
      <sz val="10"/>
      <name val="Symbol"/>
      <family val="1"/>
    </font>
    <font>
      <vertAlign val="subscript"/>
      <sz val="10"/>
      <name val="Symbol"/>
      <family val="1"/>
    </font>
    <font>
      <b/>
      <vertAlign val="subscript"/>
      <sz val="10"/>
      <name val="Arial"/>
      <family val="2"/>
    </font>
    <font>
      <vertAlign val="superscript"/>
      <sz val="10"/>
      <name val="Arial"/>
      <family val="0"/>
    </font>
    <font>
      <vertAlign val="subscript"/>
      <sz val="10"/>
      <name val="Times New Roman"/>
      <family val="1"/>
    </font>
    <font>
      <sz val="10"/>
      <name val="Times New Roman"/>
      <family val="1"/>
    </font>
    <font>
      <sz val="10"/>
      <name val="Arial  "/>
      <family val="0"/>
    </font>
    <font>
      <b/>
      <vertAlign val="superscript"/>
      <sz val="10"/>
      <name val="Arial"/>
      <family val="2"/>
    </font>
    <font>
      <i/>
      <sz val="10"/>
      <name val="Arial"/>
      <family val="2"/>
    </font>
    <font>
      <sz val="12"/>
      <name val="Arial"/>
      <family val="0"/>
    </font>
    <font>
      <b/>
      <sz val="12"/>
      <name val="Arial"/>
      <family val="2"/>
    </font>
    <font>
      <b/>
      <sz val="10"/>
      <color indexed="10"/>
      <name val="Arial"/>
      <family val="2"/>
    </font>
  </fonts>
  <fills count="7">
    <fill>
      <patternFill/>
    </fill>
    <fill>
      <patternFill patternType="gray125"/>
    </fill>
    <fill>
      <patternFill patternType="solid">
        <fgColor indexed="52"/>
        <bgColor indexed="64"/>
      </patternFill>
    </fill>
    <fill>
      <patternFill patternType="solid">
        <fgColor indexed="11"/>
        <bgColor indexed="64"/>
      </patternFill>
    </fill>
    <fill>
      <patternFill patternType="solid">
        <fgColor indexed="22"/>
        <bgColor indexed="64"/>
      </patternFill>
    </fill>
    <fill>
      <patternFill patternType="solid">
        <fgColor indexed="14"/>
        <bgColor indexed="64"/>
      </patternFill>
    </fill>
    <fill>
      <patternFill patternType="solid">
        <fgColor indexed="40"/>
        <bgColor indexed="64"/>
      </patternFill>
    </fill>
  </fills>
  <borders count="43">
    <border>
      <left/>
      <right/>
      <top/>
      <bottom/>
      <diagonal/>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0" fillId="0" borderId="1" xfId="0" applyBorder="1" applyAlignment="1">
      <alignment horizontal="center"/>
    </xf>
    <xf numFmtId="0" fontId="4" fillId="0" borderId="1" xfId="0" applyFont="1" applyBorder="1" applyAlignment="1">
      <alignment horizontal="center" wrapText="1"/>
    </xf>
    <xf numFmtId="0" fontId="9" fillId="0" borderId="0" xfId="0" applyFont="1" applyBorder="1" applyAlignment="1">
      <alignment horizontal="left"/>
    </xf>
    <xf numFmtId="0" fontId="0" fillId="0" borderId="2" xfId="0"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 xfId="0" applyBorder="1" applyAlignment="1">
      <alignment/>
    </xf>
    <xf numFmtId="0" fontId="0" fillId="0" borderId="3" xfId="0" applyBorder="1" applyAlignment="1">
      <alignment horizontal="right"/>
    </xf>
    <xf numFmtId="0" fontId="0" fillId="0" borderId="5" xfId="0" applyBorder="1" applyAlignment="1">
      <alignment horizontal="right"/>
    </xf>
    <xf numFmtId="2" fontId="0" fillId="0" borderId="1" xfId="0" applyNumberForma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wrapText="1"/>
    </xf>
    <xf numFmtId="0" fontId="0" fillId="0" borderId="1" xfId="0" applyBorder="1" applyAlignment="1">
      <alignment horizontal="center"/>
    </xf>
    <xf numFmtId="0" fontId="0" fillId="0" borderId="4" xfId="0" applyBorder="1" applyAlignment="1">
      <alignment horizontal="center"/>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2" fontId="0" fillId="0" borderId="13" xfId="0" applyNumberFormat="1" applyBorder="1" applyAlignment="1">
      <alignment horizontal="center"/>
    </xf>
    <xf numFmtId="2" fontId="0" fillId="0" borderId="14" xfId="0" applyNumberFormat="1" applyBorder="1" applyAlignment="1">
      <alignment horizontal="center"/>
    </xf>
    <xf numFmtId="0" fontId="0" fillId="0" borderId="1" xfId="0" applyBorder="1" applyAlignment="1">
      <alignment horizontal="left"/>
    </xf>
    <xf numFmtId="0" fontId="0" fillId="0" borderId="0" xfId="0" applyFont="1" applyAlignment="1">
      <alignment horizontal="right"/>
    </xf>
    <xf numFmtId="0" fontId="0" fillId="0" borderId="0" xfId="0" applyFont="1" applyBorder="1" applyAlignment="1">
      <alignment horizontal="right"/>
    </xf>
    <xf numFmtId="0" fontId="0" fillId="0" borderId="0" xfId="0" applyBorder="1" applyAlignment="1">
      <alignment/>
    </xf>
    <xf numFmtId="0" fontId="0" fillId="0" borderId="0" xfId="0" applyBorder="1" applyAlignment="1">
      <alignment horizontal="left"/>
    </xf>
    <xf numFmtId="164" fontId="0" fillId="0" borderId="1" xfId="0" applyNumberFormat="1" applyBorder="1" applyAlignment="1">
      <alignment horizontal="center"/>
    </xf>
    <xf numFmtId="0" fontId="6" fillId="0" borderId="3" xfId="0" applyFont="1" applyBorder="1" applyAlignment="1">
      <alignment horizontal="right"/>
    </xf>
    <xf numFmtId="0" fontId="0" fillId="0" borderId="4"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16" xfId="0" applyFont="1" applyBorder="1" applyAlignment="1">
      <alignment horizontal="right"/>
    </xf>
    <xf numFmtId="0" fontId="0" fillId="0" borderId="17" xfId="0" applyFont="1" applyBorder="1" applyAlignment="1">
      <alignment horizontal="right"/>
    </xf>
    <xf numFmtId="0" fontId="0" fillId="0" borderId="14" xfId="0" applyBorder="1" applyAlignment="1">
      <alignment horizontal="center"/>
    </xf>
    <xf numFmtId="0" fontId="0" fillId="0" borderId="18" xfId="0" applyBorder="1" applyAlignment="1">
      <alignment horizontal="center"/>
    </xf>
    <xf numFmtId="0" fontId="0" fillId="0" borderId="9" xfId="0" applyBorder="1" applyAlignment="1">
      <alignment horizontal="center"/>
    </xf>
    <xf numFmtId="0" fontId="0" fillId="0" borderId="16" xfId="0" applyBorder="1" applyAlignment="1">
      <alignment horizontal="right"/>
    </xf>
    <xf numFmtId="0" fontId="6" fillId="0" borderId="16" xfId="0" applyFont="1" applyBorder="1" applyAlignment="1">
      <alignment horizontal="right"/>
    </xf>
    <xf numFmtId="0" fontId="6" fillId="0" borderId="17" xfId="0" applyFont="1" applyBorder="1" applyAlignment="1">
      <alignment horizontal="right"/>
    </xf>
    <xf numFmtId="0" fontId="0" fillId="2" borderId="5" xfId="0" applyFont="1" applyFill="1" applyBorder="1" applyAlignment="1">
      <alignment horizontal="right"/>
    </xf>
    <xf numFmtId="2" fontId="0" fillId="2" borderId="6" xfId="0" applyNumberFormat="1" applyFont="1" applyFill="1" applyBorder="1" applyAlignment="1">
      <alignment horizontal="center"/>
    </xf>
    <xf numFmtId="0" fontId="0" fillId="2" borderId="6" xfId="0" applyFont="1" applyFill="1" applyBorder="1" applyAlignment="1">
      <alignment/>
    </xf>
    <xf numFmtId="0" fontId="0" fillId="2" borderId="6" xfId="0" applyFont="1" applyFill="1" applyBorder="1" applyAlignment="1">
      <alignment horizontal="left"/>
    </xf>
    <xf numFmtId="0" fontId="0" fillId="2" borderId="15" xfId="0" applyFont="1" applyFill="1" applyBorder="1" applyAlignment="1">
      <alignment horizontal="left"/>
    </xf>
    <xf numFmtId="0" fontId="0" fillId="2" borderId="19" xfId="0" applyFont="1" applyFill="1" applyBorder="1" applyAlignment="1">
      <alignment horizontal="right"/>
    </xf>
    <xf numFmtId="0" fontId="0" fillId="2" borderId="20" xfId="0" applyFill="1" applyBorder="1" applyAlignment="1">
      <alignment/>
    </xf>
    <xf numFmtId="0" fontId="0" fillId="2" borderId="21" xfId="0" applyFill="1" applyBorder="1" applyAlignment="1">
      <alignment horizontal="left"/>
    </xf>
    <xf numFmtId="0" fontId="0" fillId="2" borderId="22" xfId="0" applyFill="1" applyBorder="1" applyAlignment="1">
      <alignment horizontal="left"/>
    </xf>
    <xf numFmtId="0" fontId="0" fillId="2" borderId="6" xfId="0" applyFill="1" applyBorder="1" applyAlignment="1">
      <alignment/>
    </xf>
    <xf numFmtId="0" fontId="0" fillId="2" borderId="6" xfId="0" applyFill="1" applyBorder="1" applyAlignment="1">
      <alignment horizontal="center"/>
    </xf>
    <xf numFmtId="0" fontId="0" fillId="2" borderId="15" xfId="0" applyFill="1" applyBorder="1" applyAlignment="1">
      <alignment horizontal="center"/>
    </xf>
    <xf numFmtId="0" fontId="9" fillId="0" borderId="0" xfId="0" applyFont="1" applyAlignment="1">
      <alignment/>
    </xf>
    <xf numFmtId="0" fontId="9" fillId="0" borderId="0" xfId="0" applyFont="1" applyBorder="1" applyAlignment="1">
      <alignment horizontal="left"/>
    </xf>
    <xf numFmtId="0" fontId="0" fillId="0" borderId="15" xfId="0" applyBorder="1" applyAlignment="1">
      <alignment horizontal="center"/>
    </xf>
    <xf numFmtId="0" fontId="0" fillId="0" borderId="17" xfId="0" applyBorder="1" applyAlignment="1">
      <alignment horizontal="right"/>
    </xf>
    <xf numFmtId="0" fontId="4" fillId="2" borderId="3" xfId="0" applyFont="1" applyFill="1" applyBorder="1" applyAlignment="1">
      <alignment wrapText="1"/>
    </xf>
    <xf numFmtId="0" fontId="0" fillId="2" borderId="1" xfId="0" applyFill="1" applyBorder="1" applyAlignment="1">
      <alignment horizontal="center"/>
    </xf>
    <xf numFmtId="0" fontId="0" fillId="2" borderId="4" xfId="0" applyFill="1" applyBorder="1" applyAlignment="1">
      <alignment/>
    </xf>
    <xf numFmtId="0" fontId="4" fillId="2" borderId="5" xfId="0" applyFont="1" applyFill="1" applyBorder="1" applyAlignment="1">
      <alignment wrapText="1"/>
    </xf>
    <xf numFmtId="0" fontId="0" fillId="2" borderId="6" xfId="0" applyFill="1" applyBorder="1" applyAlignment="1">
      <alignment horizontal="center"/>
    </xf>
    <xf numFmtId="0" fontId="0" fillId="2" borderId="15" xfId="0" applyFill="1" applyBorder="1" applyAlignment="1">
      <alignment/>
    </xf>
    <xf numFmtId="0" fontId="0" fillId="2" borderId="3" xfId="0" applyFill="1" applyBorder="1" applyAlignment="1">
      <alignment horizontal="right"/>
    </xf>
    <xf numFmtId="2" fontId="0" fillId="2" borderId="1" xfId="0" applyNumberFormat="1" applyFill="1" applyBorder="1" applyAlignment="1">
      <alignment horizontal="center"/>
    </xf>
    <xf numFmtId="0" fontId="0" fillId="2" borderId="5" xfId="0" applyFill="1" applyBorder="1" applyAlignment="1">
      <alignment horizontal="right"/>
    </xf>
    <xf numFmtId="2" fontId="0" fillId="2" borderId="6" xfId="0" applyNumberFormat="1" applyFill="1" applyBorder="1" applyAlignment="1">
      <alignment horizont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2" borderId="3"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0" fillId="2" borderId="13"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horizontal="center"/>
    </xf>
    <xf numFmtId="0" fontId="0" fillId="2" borderId="14"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3" borderId="1" xfId="0" applyFont="1" applyFill="1" applyBorder="1" applyAlignment="1">
      <alignment horizontal="center"/>
    </xf>
    <xf numFmtId="0" fontId="0" fillId="3" borderId="6" xfId="0" applyFont="1"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0" fontId="4" fillId="4" borderId="23" xfId="0" applyFont="1" applyFill="1" applyBorder="1" applyAlignment="1">
      <alignment horizontal="left"/>
    </xf>
    <xf numFmtId="0" fontId="4" fillId="4" borderId="24" xfId="0" applyFont="1" applyFill="1" applyBorder="1" applyAlignment="1">
      <alignment horizontal="left"/>
    </xf>
    <xf numFmtId="0" fontId="4" fillId="4" borderId="25" xfId="0" applyFont="1" applyFill="1" applyBorder="1" applyAlignment="1">
      <alignment horizontal="left"/>
    </xf>
    <xf numFmtId="0" fontId="4" fillId="4" borderId="26" xfId="0" applyFont="1" applyFill="1" applyBorder="1" applyAlignment="1">
      <alignment horizontal="left"/>
    </xf>
    <xf numFmtId="0" fontId="4" fillId="4" borderId="27" xfId="0" applyFont="1" applyFill="1" applyBorder="1" applyAlignment="1">
      <alignment horizontal="left"/>
    </xf>
    <xf numFmtId="0" fontId="4" fillId="4" borderId="28" xfId="0" applyFont="1" applyFill="1" applyBorder="1" applyAlignment="1">
      <alignment horizontal="left"/>
    </xf>
    <xf numFmtId="0" fontId="3" fillId="4" borderId="26" xfId="0" applyFont="1" applyFill="1" applyBorder="1" applyAlignment="1">
      <alignment horizontal="left"/>
    </xf>
    <xf numFmtId="0" fontId="3" fillId="4" borderId="27" xfId="0" applyFont="1" applyFill="1" applyBorder="1" applyAlignment="1">
      <alignment horizontal="left"/>
    </xf>
    <xf numFmtId="0" fontId="3" fillId="4" borderId="28" xfId="0" applyFont="1" applyFill="1" applyBorder="1" applyAlignment="1">
      <alignment horizontal="left"/>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4" fillId="4" borderId="32" xfId="0" applyFont="1" applyFill="1" applyBorder="1" applyAlignment="1">
      <alignment horizontal="center"/>
    </xf>
    <xf numFmtId="0" fontId="4" fillId="4" borderId="33" xfId="0" applyFont="1" applyFill="1" applyBorder="1" applyAlignment="1">
      <alignment horizontal="center"/>
    </xf>
    <xf numFmtId="0" fontId="4" fillId="4" borderId="34" xfId="0" applyFont="1" applyFill="1" applyBorder="1" applyAlignment="1">
      <alignment horizontal="center"/>
    </xf>
    <xf numFmtId="0" fontId="4" fillId="4" borderId="35" xfId="0" applyFont="1" applyFill="1" applyBorder="1" applyAlignment="1">
      <alignment horizontal="center"/>
    </xf>
    <xf numFmtId="0" fontId="4" fillId="4" borderId="36" xfId="0" applyFont="1" applyFill="1" applyBorder="1" applyAlignment="1">
      <alignment horizontal="center"/>
    </xf>
    <xf numFmtId="0" fontId="4" fillId="4" borderId="37" xfId="0" applyFont="1" applyFill="1" applyBorder="1" applyAlignment="1">
      <alignment horizontal="center"/>
    </xf>
    <xf numFmtId="0" fontId="4" fillId="4" borderId="26" xfId="0" applyFont="1" applyFill="1" applyBorder="1" applyAlignment="1">
      <alignment horizontal="center"/>
    </xf>
    <xf numFmtId="0" fontId="4" fillId="4" borderId="27" xfId="0" applyFont="1" applyFill="1" applyBorder="1" applyAlignment="1">
      <alignment horizontal="center"/>
    </xf>
    <xf numFmtId="0" fontId="4" fillId="4" borderId="28" xfId="0" applyFont="1" applyFill="1" applyBorder="1" applyAlignment="1">
      <alignment horizontal="center"/>
    </xf>
    <xf numFmtId="0" fontId="0" fillId="5" borderId="1" xfId="0" applyFill="1" applyBorder="1" applyAlignment="1">
      <alignment horizontal="center"/>
    </xf>
    <xf numFmtId="0" fontId="0" fillId="6" borderId="23" xfId="0" applyFill="1" applyBorder="1" applyAlignment="1">
      <alignment horizontal="left" vertical="top" wrapText="1"/>
    </xf>
    <xf numFmtId="0" fontId="0" fillId="6" borderId="24" xfId="0" applyFill="1" applyBorder="1" applyAlignment="1">
      <alignment horizontal="left" vertical="top" wrapText="1"/>
    </xf>
    <xf numFmtId="0" fontId="0" fillId="6" borderId="25" xfId="0" applyFill="1" applyBorder="1" applyAlignment="1">
      <alignment horizontal="left" vertical="top" wrapText="1"/>
    </xf>
    <xf numFmtId="0" fontId="0" fillId="6" borderId="38" xfId="0" applyFill="1" applyBorder="1" applyAlignment="1">
      <alignment horizontal="left" vertical="top" wrapText="1"/>
    </xf>
    <xf numFmtId="0" fontId="0" fillId="6" borderId="0" xfId="0" applyFill="1" applyBorder="1" applyAlignment="1">
      <alignment horizontal="left" vertical="top" wrapText="1"/>
    </xf>
    <xf numFmtId="0" fontId="0" fillId="6" borderId="39" xfId="0" applyFill="1" applyBorder="1" applyAlignment="1">
      <alignment horizontal="left" vertical="top" wrapText="1"/>
    </xf>
    <xf numFmtId="0" fontId="0" fillId="6" borderId="40" xfId="0" applyFill="1" applyBorder="1" applyAlignment="1">
      <alignment horizontal="left" vertical="top" wrapText="1"/>
    </xf>
    <xf numFmtId="0" fontId="0" fillId="6" borderId="41" xfId="0" applyFill="1" applyBorder="1" applyAlignment="1">
      <alignment horizontal="left" vertical="top" wrapText="1"/>
    </xf>
    <xf numFmtId="0" fontId="0" fillId="6" borderId="42" xfId="0" applyFill="1" applyBorder="1" applyAlignment="1">
      <alignment horizontal="left" vertical="top" wrapText="1"/>
    </xf>
    <xf numFmtId="0" fontId="0" fillId="0" borderId="38" xfId="0" applyFill="1" applyBorder="1" applyAlignment="1">
      <alignment vertical="top" wrapText="1"/>
    </xf>
    <xf numFmtId="0" fontId="0" fillId="0" borderId="0" xfId="0" applyFill="1" applyAlignment="1">
      <alignment vertical="top" wrapText="1"/>
    </xf>
    <xf numFmtId="0" fontId="0" fillId="6" borderId="23" xfId="0" applyFill="1" applyBorder="1" applyAlignment="1">
      <alignment horizontal="center" vertical="top" wrapText="1"/>
    </xf>
    <xf numFmtId="0" fontId="0" fillId="6" borderId="24" xfId="0" applyFill="1" applyBorder="1" applyAlignment="1">
      <alignment horizontal="center" vertical="top" wrapText="1"/>
    </xf>
    <xf numFmtId="0" fontId="0" fillId="6" borderId="25" xfId="0" applyFill="1" applyBorder="1" applyAlignment="1">
      <alignment horizontal="center" vertical="top" wrapText="1"/>
    </xf>
    <xf numFmtId="0" fontId="0" fillId="6" borderId="40" xfId="0" applyFill="1" applyBorder="1" applyAlignment="1">
      <alignment horizontal="center" vertical="top" wrapText="1"/>
    </xf>
    <xf numFmtId="0" fontId="0" fillId="6" borderId="41" xfId="0" applyFill="1" applyBorder="1" applyAlignment="1">
      <alignment horizontal="center" vertical="top" wrapText="1"/>
    </xf>
    <xf numFmtId="0" fontId="0" fillId="6" borderId="42" xfId="0" applyFill="1" applyBorder="1" applyAlignment="1">
      <alignment horizontal="center" vertical="top" wrapText="1"/>
    </xf>
    <xf numFmtId="0" fontId="15" fillId="0" borderId="41" xfId="0" applyFont="1" applyBorder="1" applyAlignment="1">
      <alignment horizontal="left"/>
    </xf>
    <xf numFmtId="0" fontId="4" fillId="4" borderId="26" xfId="0" applyFont="1" applyFill="1" applyBorder="1" applyAlignment="1">
      <alignment/>
    </xf>
    <xf numFmtId="0" fontId="4" fillId="4" borderId="27" xfId="0" applyFont="1" applyFill="1" applyBorder="1" applyAlignment="1">
      <alignment/>
    </xf>
    <xf numFmtId="0" fontId="4" fillId="4" borderId="28" xfId="0" applyFont="1" applyFill="1" applyBorder="1" applyAlignment="1">
      <alignment/>
    </xf>
    <xf numFmtId="0" fontId="16" fillId="0" borderId="41" xfId="0" applyFont="1" applyBorder="1" applyAlignment="1">
      <alignment horizontal="left"/>
    </xf>
    <xf numFmtId="0" fontId="17" fillId="0" borderId="0" xfId="0" applyFont="1" applyAlignment="1">
      <alignment/>
    </xf>
    <xf numFmtId="0" fontId="0" fillId="6" borderId="23" xfId="0" applyFont="1" applyFill="1" applyBorder="1" applyAlignment="1">
      <alignment horizontal="left" vertical="top" wrapText="1"/>
    </xf>
    <xf numFmtId="0" fontId="0" fillId="6" borderId="24" xfId="0" applyFont="1" applyFill="1" applyBorder="1" applyAlignment="1">
      <alignment horizontal="left" vertical="top" wrapText="1"/>
    </xf>
    <xf numFmtId="0" fontId="0" fillId="6" borderId="25" xfId="0" applyFont="1" applyFill="1" applyBorder="1" applyAlignment="1">
      <alignment horizontal="left" vertical="top" wrapText="1"/>
    </xf>
    <xf numFmtId="0" fontId="0" fillId="6" borderId="40" xfId="0" applyFont="1" applyFill="1" applyBorder="1" applyAlignment="1">
      <alignment horizontal="left" vertical="top" wrapText="1"/>
    </xf>
    <xf numFmtId="0" fontId="0" fillId="6" borderId="41" xfId="0" applyFont="1" applyFill="1" applyBorder="1" applyAlignment="1">
      <alignment horizontal="left" vertical="top" wrapText="1"/>
    </xf>
    <xf numFmtId="0" fontId="0" fillId="6" borderId="42" xfId="0" applyFont="1" applyFill="1" applyBorder="1" applyAlignment="1">
      <alignment horizontal="left" vertical="top" wrapText="1"/>
    </xf>
    <xf numFmtId="0" fontId="0" fillId="6" borderId="0" xfId="0"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8</xdr:row>
      <xdr:rowOff>85725</xdr:rowOff>
    </xdr:from>
    <xdr:to>
      <xdr:col>16</xdr:col>
      <xdr:colOff>552450</xdr:colOff>
      <xdr:row>27</xdr:row>
      <xdr:rowOff>114300</xdr:rowOff>
    </xdr:to>
    <xdr:pic>
      <xdr:nvPicPr>
        <xdr:cNvPr id="1" name="Picture 1"/>
        <xdr:cNvPicPr preferRelativeResize="1">
          <a:picLocks noChangeAspect="1"/>
        </xdr:cNvPicPr>
      </xdr:nvPicPr>
      <xdr:blipFill>
        <a:blip r:embed="rId1"/>
        <a:stretch>
          <a:fillRect/>
        </a:stretch>
      </xdr:blipFill>
      <xdr:spPr>
        <a:xfrm>
          <a:off x="6972300" y="1419225"/>
          <a:ext cx="2990850" cy="3343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2"/>
  <sheetViews>
    <sheetView tabSelected="1" workbookViewId="0" topLeftCell="A1">
      <selection activeCell="B7" sqref="B7"/>
    </sheetView>
  </sheetViews>
  <sheetFormatPr defaultColWidth="9.140625" defaultRowHeight="12.75"/>
  <cols>
    <col min="12" max="12" width="4.00390625" style="0" customWidth="1"/>
  </cols>
  <sheetData>
    <row r="1" spans="1:17" ht="12.75" customHeight="1">
      <c r="A1" s="111" t="s">
        <v>100</v>
      </c>
      <c r="B1" s="112"/>
      <c r="C1" s="112"/>
      <c r="D1" s="112"/>
      <c r="E1" s="112"/>
      <c r="F1" s="112"/>
      <c r="G1" s="112"/>
      <c r="H1" s="112"/>
      <c r="I1" s="112"/>
      <c r="J1" s="112"/>
      <c r="K1" s="112"/>
      <c r="L1" s="112"/>
      <c r="M1" s="112"/>
      <c r="N1" s="112"/>
      <c r="O1" s="112"/>
      <c r="P1" s="112"/>
      <c r="Q1" s="113"/>
    </row>
    <row r="2" spans="1:17" ht="12.75">
      <c r="A2" s="114"/>
      <c r="B2" s="115"/>
      <c r="C2" s="115"/>
      <c r="D2" s="115"/>
      <c r="E2" s="115"/>
      <c r="F2" s="115"/>
      <c r="G2" s="115"/>
      <c r="H2" s="115"/>
      <c r="I2" s="115"/>
      <c r="J2" s="115"/>
      <c r="K2" s="115"/>
      <c r="L2" s="115"/>
      <c r="M2" s="115"/>
      <c r="N2" s="115"/>
      <c r="O2" s="115"/>
      <c r="P2" s="115"/>
      <c r="Q2" s="116"/>
    </row>
    <row r="3" spans="1:17" ht="12.75">
      <c r="A3" s="114"/>
      <c r="B3" s="115"/>
      <c r="C3" s="115"/>
      <c r="D3" s="115"/>
      <c r="E3" s="115"/>
      <c r="F3" s="115"/>
      <c r="G3" s="115"/>
      <c r="H3" s="115"/>
      <c r="I3" s="115"/>
      <c r="J3" s="115"/>
      <c r="K3" s="115"/>
      <c r="L3" s="115"/>
      <c r="M3" s="115"/>
      <c r="N3" s="115"/>
      <c r="O3" s="115"/>
      <c r="P3" s="115"/>
      <c r="Q3" s="116"/>
    </row>
    <row r="4" spans="1:17" ht="12.75">
      <c r="A4" s="114"/>
      <c r="B4" s="115"/>
      <c r="C4" s="115"/>
      <c r="D4" s="115"/>
      <c r="E4" s="115"/>
      <c r="F4" s="115"/>
      <c r="G4" s="115"/>
      <c r="H4" s="115"/>
      <c r="I4" s="115"/>
      <c r="J4" s="115"/>
      <c r="K4" s="115"/>
      <c r="L4" s="115"/>
      <c r="M4" s="115"/>
      <c r="N4" s="115"/>
      <c r="O4" s="115"/>
      <c r="P4" s="115"/>
      <c r="Q4" s="116"/>
    </row>
    <row r="5" spans="1:17" ht="12.75">
      <c r="A5" s="114"/>
      <c r="B5" s="115"/>
      <c r="C5" s="115"/>
      <c r="D5" s="115"/>
      <c r="E5" s="115"/>
      <c r="F5" s="115"/>
      <c r="G5" s="115"/>
      <c r="H5" s="115"/>
      <c r="I5" s="115"/>
      <c r="J5" s="115"/>
      <c r="K5" s="115"/>
      <c r="L5" s="115"/>
      <c r="M5" s="115"/>
      <c r="N5" s="115"/>
      <c r="O5" s="115"/>
      <c r="P5" s="115"/>
      <c r="Q5" s="116"/>
    </row>
    <row r="6" spans="1:17" ht="13.5" thickBot="1">
      <c r="A6" s="117"/>
      <c r="B6" s="118"/>
      <c r="C6" s="118"/>
      <c r="D6" s="118"/>
      <c r="E6" s="118"/>
      <c r="F6" s="118"/>
      <c r="G6" s="118"/>
      <c r="H6" s="118"/>
      <c r="I6" s="118"/>
      <c r="J6" s="118"/>
      <c r="K6" s="118"/>
      <c r="L6" s="118"/>
      <c r="M6" s="118"/>
      <c r="N6" s="118"/>
      <c r="O6" s="118"/>
      <c r="P6" s="118"/>
      <c r="Q6" s="119"/>
    </row>
    <row r="8" spans="1:7" ht="15" thickBot="1">
      <c r="A8" s="128" t="s">
        <v>103</v>
      </c>
      <c r="B8" s="128"/>
      <c r="C8" s="128"/>
      <c r="D8" s="128"/>
      <c r="E8" s="128"/>
      <c r="F8" s="128"/>
      <c r="G8" s="128"/>
    </row>
    <row r="9" spans="1:7" ht="12.75">
      <c r="A9" s="89" t="s">
        <v>74</v>
      </c>
      <c r="B9" s="90"/>
      <c r="C9" s="90"/>
      <c r="D9" s="90"/>
      <c r="E9" s="90"/>
      <c r="F9" s="90"/>
      <c r="G9" s="91"/>
    </row>
    <row r="10" spans="1:7" ht="12.75">
      <c r="A10" s="43" t="s">
        <v>36</v>
      </c>
      <c r="B10" s="87">
        <v>300</v>
      </c>
      <c r="C10" s="4" t="s">
        <v>40</v>
      </c>
      <c r="D10" s="28" t="s">
        <v>47</v>
      </c>
      <c r="E10" s="28"/>
      <c r="F10" s="28"/>
      <c r="G10" s="35"/>
    </row>
    <row r="11" spans="1:7" ht="12.75">
      <c r="A11" s="43" t="s">
        <v>37</v>
      </c>
      <c r="B11" s="87">
        <v>3.048</v>
      </c>
      <c r="C11" s="4" t="s">
        <v>40</v>
      </c>
      <c r="D11" s="28" t="s">
        <v>48</v>
      </c>
      <c r="E11" s="28"/>
      <c r="F11" s="28"/>
      <c r="G11" s="35"/>
    </row>
    <row r="12" spans="1:7" ht="12.75">
      <c r="A12" s="43" t="s">
        <v>38</v>
      </c>
      <c r="B12" s="87">
        <v>0.0061</v>
      </c>
      <c r="C12" s="4" t="s">
        <v>41</v>
      </c>
      <c r="D12" s="28" t="s">
        <v>62</v>
      </c>
      <c r="E12" s="28"/>
      <c r="F12" s="28"/>
      <c r="G12" s="35"/>
    </row>
    <row r="13" spans="1:7" ht="14.25">
      <c r="A13" s="44" t="s">
        <v>39</v>
      </c>
      <c r="B13" s="87">
        <v>24</v>
      </c>
      <c r="C13" s="4" t="s">
        <v>42</v>
      </c>
      <c r="D13" s="28" t="s">
        <v>49</v>
      </c>
      <c r="E13" s="28"/>
      <c r="F13" s="28"/>
      <c r="G13" s="35"/>
    </row>
    <row r="14" spans="1:7" ht="12.75">
      <c r="A14" s="43" t="s">
        <v>43</v>
      </c>
      <c r="B14" s="87">
        <v>2.65</v>
      </c>
      <c r="C14" s="4"/>
      <c r="D14" s="28" t="s">
        <v>50</v>
      </c>
      <c r="E14" s="28"/>
      <c r="F14" s="28"/>
      <c r="G14" s="35"/>
    </row>
    <row r="15" spans="1:7" ht="12.75">
      <c r="A15" s="44" t="s">
        <v>44</v>
      </c>
      <c r="B15" s="87">
        <v>40</v>
      </c>
      <c r="C15" s="4" t="s">
        <v>42</v>
      </c>
      <c r="D15" s="28" t="s">
        <v>51</v>
      </c>
      <c r="E15" s="28"/>
      <c r="F15" s="28"/>
      <c r="G15" s="35"/>
    </row>
    <row r="16" spans="1:7" ht="14.25">
      <c r="A16" s="44" t="s">
        <v>46</v>
      </c>
      <c r="B16" s="87">
        <v>0.047</v>
      </c>
      <c r="C16" s="4"/>
      <c r="D16" s="28" t="s">
        <v>45</v>
      </c>
      <c r="E16" s="28"/>
      <c r="F16" s="28"/>
      <c r="G16" s="35"/>
    </row>
    <row r="17" spans="1:7" ht="15" thickBot="1">
      <c r="A17" s="45" t="s">
        <v>52</v>
      </c>
      <c r="B17" s="88">
        <v>9810</v>
      </c>
      <c r="C17" s="12" t="s">
        <v>53</v>
      </c>
      <c r="D17" s="36" t="s">
        <v>54</v>
      </c>
      <c r="E17" s="36"/>
      <c r="F17" s="36"/>
      <c r="G17" s="37"/>
    </row>
    <row r="18" ht="13.5" thickBot="1"/>
    <row r="19" spans="1:11" ht="12.75" customHeight="1">
      <c r="A19" s="92" t="s">
        <v>59</v>
      </c>
      <c r="B19" s="93"/>
      <c r="C19" s="93"/>
      <c r="D19" s="93"/>
      <c r="E19" s="93"/>
      <c r="F19" s="93"/>
      <c r="G19" s="94"/>
      <c r="H19" s="122" t="s">
        <v>101</v>
      </c>
      <c r="I19" s="123"/>
      <c r="J19" s="123"/>
      <c r="K19" s="124"/>
    </row>
    <row r="20" spans="1:11" ht="15" thickBot="1">
      <c r="A20" s="34" t="s">
        <v>55</v>
      </c>
      <c r="B20" s="17">
        <f>gamma*h*S</f>
        <v>182.39536800000002</v>
      </c>
      <c r="C20" s="14" t="s">
        <v>56</v>
      </c>
      <c r="D20" s="28" t="s">
        <v>57</v>
      </c>
      <c r="E20" s="28"/>
      <c r="F20" s="28"/>
      <c r="G20" s="35"/>
      <c r="H20" s="125"/>
      <c r="I20" s="126"/>
      <c r="J20" s="126"/>
      <c r="K20" s="127"/>
    </row>
    <row r="21" spans="1:11" ht="16.5" thickBot="1">
      <c r="A21" s="46" t="s">
        <v>10</v>
      </c>
      <c r="B21" s="55">
        <f>Shear/(t_star_c*gamma*(SG-1)*((1-(SIN(RADIANS(Bank_S))^2)/(SIN(RADIANS(phi))^2))^0.5))</f>
        <v>0.30962167891854336</v>
      </c>
      <c r="C21" s="55" t="s">
        <v>40</v>
      </c>
      <c r="D21" s="56" t="s">
        <v>58</v>
      </c>
      <c r="E21" s="56"/>
      <c r="F21" s="56"/>
      <c r="G21" s="57"/>
      <c r="H21" s="120"/>
      <c r="I21" s="121"/>
      <c r="J21" s="121"/>
      <c r="K21" s="121"/>
    </row>
    <row r="23" spans="1:11" ht="15.75" thickBot="1">
      <c r="A23" s="128" t="s">
        <v>104</v>
      </c>
      <c r="B23" s="128"/>
      <c r="C23" s="128"/>
      <c r="D23" s="128"/>
      <c r="E23" s="128"/>
      <c r="F23" s="128"/>
      <c r="G23" s="128"/>
      <c r="H23" s="128"/>
      <c r="I23" s="128"/>
      <c r="J23" s="128"/>
      <c r="K23" s="128"/>
    </row>
    <row r="24" spans="1:11" ht="12.75">
      <c r="A24" s="89" t="s">
        <v>73</v>
      </c>
      <c r="B24" s="90"/>
      <c r="C24" s="90"/>
      <c r="D24" s="90"/>
      <c r="E24" s="90"/>
      <c r="F24" s="90"/>
      <c r="G24" s="90"/>
      <c r="H24" s="90"/>
      <c r="I24" s="90"/>
      <c r="J24" s="90"/>
      <c r="K24" s="91"/>
    </row>
    <row r="25" spans="1:11" ht="12.75">
      <c r="A25" s="38" t="s">
        <v>68</v>
      </c>
      <c r="B25" s="87">
        <v>215</v>
      </c>
      <c r="C25" s="4" t="s">
        <v>40</v>
      </c>
      <c r="D25" s="28" t="s">
        <v>69</v>
      </c>
      <c r="E25" s="28"/>
      <c r="F25" s="28"/>
      <c r="G25" s="28"/>
      <c r="H25" s="28"/>
      <c r="I25" s="28"/>
      <c r="J25" s="28"/>
      <c r="K25" s="35"/>
    </row>
    <row r="26" spans="1:11" ht="15.75">
      <c r="A26" s="51" t="s">
        <v>71</v>
      </c>
      <c r="B26" s="110">
        <v>0.1524</v>
      </c>
      <c r="C26" s="52" t="s">
        <v>40</v>
      </c>
      <c r="D26" s="53" t="s">
        <v>72</v>
      </c>
      <c r="E26" s="53"/>
      <c r="F26" s="53"/>
      <c r="G26" s="53"/>
      <c r="H26" s="53"/>
      <c r="I26" s="53"/>
      <c r="J26" s="53"/>
      <c r="K26" s="54"/>
    </row>
    <row r="27" spans="1:11" ht="12.75">
      <c r="A27" s="38" t="s">
        <v>77</v>
      </c>
      <c r="B27" s="87">
        <v>1</v>
      </c>
      <c r="C27" s="4"/>
      <c r="D27" s="21" t="s">
        <v>79</v>
      </c>
      <c r="E27" s="21"/>
      <c r="F27" s="21"/>
      <c r="G27" s="21"/>
      <c r="H27" s="21"/>
      <c r="I27" s="21"/>
      <c r="J27" s="21"/>
      <c r="K27" s="22"/>
    </row>
    <row r="28" spans="1:11" ht="13.5" thickBot="1">
      <c r="A28" s="39" t="s">
        <v>78</v>
      </c>
      <c r="B28" s="88">
        <v>1</v>
      </c>
      <c r="C28" s="12"/>
      <c r="D28" s="40"/>
      <c r="E28" s="41"/>
      <c r="F28" s="41"/>
      <c r="G28" s="41"/>
      <c r="H28" s="41"/>
      <c r="I28" s="41"/>
      <c r="J28" s="41"/>
      <c r="K28" s="42"/>
    </row>
    <row r="29" spans="1:18" ht="13.5" thickBot="1">
      <c r="A29" s="30"/>
      <c r="B29" s="18"/>
      <c r="C29" s="31"/>
      <c r="D29" s="32"/>
      <c r="E29" s="32"/>
      <c r="F29" s="32"/>
      <c r="G29" s="32"/>
      <c r="H29" s="32"/>
      <c r="I29" s="32"/>
      <c r="J29" s="32"/>
      <c r="K29" s="32"/>
      <c r="M29" s="140" t="s">
        <v>99</v>
      </c>
      <c r="N29" s="140"/>
      <c r="O29" s="140"/>
      <c r="P29" s="140"/>
      <c r="Q29" s="140"/>
      <c r="R29" s="140"/>
    </row>
    <row r="30" spans="1:9" ht="12.75">
      <c r="A30" s="92" t="s">
        <v>75</v>
      </c>
      <c r="B30" s="93"/>
      <c r="C30" s="93"/>
      <c r="D30" s="93"/>
      <c r="E30" s="93"/>
      <c r="F30" s="93"/>
      <c r="G30" s="93"/>
      <c r="H30" s="93"/>
      <c r="I30" s="94"/>
    </row>
    <row r="31" spans="1:9" ht="14.25">
      <c r="A31" s="34" t="s">
        <v>60</v>
      </c>
      <c r="B31" s="33">
        <f>DEGREES(ATAN(S))</f>
        <v>0.34949992010880665</v>
      </c>
      <c r="C31" s="14" t="s">
        <v>42</v>
      </c>
      <c r="D31" s="28" t="s">
        <v>61</v>
      </c>
      <c r="E31" s="28"/>
      <c r="F31" s="28"/>
      <c r="G31" s="28"/>
      <c r="H31" s="28"/>
      <c r="I31" s="35"/>
    </row>
    <row r="32" spans="1:9" ht="12.75">
      <c r="A32" s="15" t="s">
        <v>63</v>
      </c>
      <c r="B32" s="33">
        <v>0.03</v>
      </c>
      <c r="C32" s="14"/>
      <c r="D32" s="28" t="s">
        <v>64</v>
      </c>
      <c r="E32" s="28"/>
      <c r="F32" s="28"/>
      <c r="G32" s="28"/>
      <c r="H32" s="28"/>
      <c r="I32" s="35"/>
    </row>
    <row r="33" spans="1:10" ht="12.75">
      <c r="A33" s="34" t="s">
        <v>65</v>
      </c>
      <c r="B33" s="33">
        <f>DEGREES(ATAN((SIN(RADIANS(River_S)))/(SIN(RADIANS(Bank_S)))))</f>
        <v>0.8592084333472702</v>
      </c>
      <c r="C33" s="14" t="s">
        <v>42</v>
      </c>
      <c r="D33" s="28" t="s">
        <v>67</v>
      </c>
      <c r="E33" s="28"/>
      <c r="F33" s="28"/>
      <c r="G33" s="28"/>
      <c r="H33" s="28"/>
      <c r="I33" s="35"/>
      <c r="J33" s="133" t="str">
        <f>IF(Bank_S&lt;20,IF(B31&lt;20,"","Warning:  The river or river bank may be too steep for adequate results"),"Warning:  The river or river bank may be too steep for adequate results")</f>
        <v>Warning:  The river or river bank may be too steep for adequate results</v>
      </c>
    </row>
    <row r="34" spans="1:9" ht="14.25">
      <c r="A34" s="15" t="s">
        <v>66</v>
      </c>
      <c r="B34" s="33">
        <f>(((COS(RADIANS(Bank_S)))^2)-((SIN(RADIANS(River_S)))^2))^0.5</f>
        <v>0.913525092465424</v>
      </c>
      <c r="C34" s="14"/>
      <c r="D34" s="28" t="s">
        <v>67</v>
      </c>
      <c r="E34" s="28"/>
      <c r="F34" s="28"/>
      <c r="G34" s="28"/>
      <c r="H34" s="28"/>
      <c r="I34" s="35"/>
    </row>
    <row r="35" spans="1:9" ht="12.75">
      <c r="A35" s="34" t="s">
        <v>70</v>
      </c>
      <c r="B35" s="17">
        <f>DEGREES(ATAN((11*h)/Radius))</f>
        <v>8.863554088894773</v>
      </c>
      <c r="C35" s="14" t="s">
        <v>42</v>
      </c>
      <c r="D35" s="28" t="s">
        <v>87</v>
      </c>
      <c r="E35" s="28"/>
      <c r="F35" s="28"/>
      <c r="G35" s="28"/>
      <c r="H35" s="28"/>
      <c r="I35" s="35"/>
    </row>
    <row r="36" spans="1:9" ht="14.25">
      <c r="A36" s="34" t="s">
        <v>76</v>
      </c>
      <c r="B36" s="17">
        <f>(Shear)/((SG-1)*gamma*ds*t_star_c)</f>
        <v>1.5731785944551904</v>
      </c>
      <c r="C36" s="14"/>
      <c r="D36" s="28" t="s">
        <v>83</v>
      </c>
      <c r="E36" s="28"/>
      <c r="F36" s="28"/>
      <c r="G36" s="28"/>
      <c r="H36" s="28"/>
      <c r="I36" s="35"/>
    </row>
    <row r="37" spans="1:9" ht="12.75">
      <c r="A37" s="34" t="s">
        <v>80</v>
      </c>
      <c r="B37" s="17">
        <f>DEGREES(ATAN((COS(RADIANS(B35+theta)))/((((B27+B28)*(1-B34^2)^0.5)/(B28*B36*TAN(RADIANS(phi))))+SIN(RADIANS(B35+theta)))))</f>
        <v>51.45793194100761</v>
      </c>
      <c r="C37" s="14" t="s">
        <v>42</v>
      </c>
      <c r="D37" s="28" t="s">
        <v>81</v>
      </c>
      <c r="E37" s="28"/>
      <c r="F37" s="28"/>
      <c r="G37" s="28"/>
      <c r="H37" s="28"/>
      <c r="I37" s="35"/>
    </row>
    <row r="38" spans="1:9" ht="14.25">
      <c r="A38" s="34" t="s">
        <v>82</v>
      </c>
      <c r="B38" s="17">
        <f>h_0*(((M/Cap_N)+SIN(RADIANS(lambda+beta+theta)))/(1+(M/Cap_N)))</f>
        <v>1.4757550309369756</v>
      </c>
      <c r="C38" s="14"/>
      <c r="D38" s="28" t="s">
        <v>84</v>
      </c>
      <c r="E38" s="28"/>
      <c r="F38" s="28"/>
      <c r="G38" s="28"/>
      <c r="H38" s="28"/>
      <c r="I38" s="35"/>
    </row>
    <row r="39" spans="1:9" ht="13.5" thickBot="1">
      <c r="A39" s="46" t="s">
        <v>85</v>
      </c>
      <c r="B39" s="47">
        <f>(a_theta*(TAN(RADIANS(phi)))/(h_1*TAN(RADIANS(phi))+((1-a_theta^2)^0.5)*COS(RADIANS(beta))))</f>
        <v>0.5138459860399898</v>
      </c>
      <c r="C39" s="48"/>
      <c r="D39" s="49" t="s">
        <v>86</v>
      </c>
      <c r="E39" s="49"/>
      <c r="F39" s="49"/>
      <c r="G39" s="49"/>
      <c r="H39" s="49"/>
      <c r="I39" s="50"/>
    </row>
    <row r="40" ht="13.5" thickBot="1">
      <c r="A40" s="29"/>
    </row>
    <row r="41" spans="1:12" ht="12.75">
      <c r="A41" s="134" t="s">
        <v>106</v>
      </c>
      <c r="B41" s="135"/>
      <c r="C41" s="135"/>
      <c r="D41" s="135"/>
      <c r="E41" s="135"/>
      <c r="F41" s="135"/>
      <c r="G41" s="135"/>
      <c r="H41" s="135"/>
      <c r="I41" s="135"/>
      <c r="J41" s="135"/>
      <c r="K41" s="135"/>
      <c r="L41" s="136"/>
    </row>
    <row r="42" spans="1:12" ht="13.5" thickBot="1">
      <c r="A42" s="137"/>
      <c r="B42" s="138"/>
      <c r="C42" s="138"/>
      <c r="D42" s="138"/>
      <c r="E42" s="138"/>
      <c r="F42" s="138"/>
      <c r="G42" s="138"/>
      <c r="H42" s="138"/>
      <c r="I42" s="138"/>
      <c r="J42" s="138"/>
      <c r="K42" s="138"/>
      <c r="L42" s="139"/>
    </row>
  </sheetData>
  <mergeCells count="33">
    <mergeCell ref="A41:L42"/>
    <mergeCell ref="M29:R29"/>
    <mergeCell ref="A19:G19"/>
    <mergeCell ref="A9:G9"/>
    <mergeCell ref="A1:Q6"/>
    <mergeCell ref="H19:K20"/>
    <mergeCell ref="A8:G8"/>
    <mergeCell ref="D38:I38"/>
    <mergeCell ref="D39:I39"/>
    <mergeCell ref="D28:K28"/>
    <mergeCell ref="A30:I30"/>
    <mergeCell ref="D34:I34"/>
    <mergeCell ref="D35:I35"/>
    <mergeCell ref="D36:I36"/>
    <mergeCell ref="D37:I37"/>
    <mergeCell ref="D27:K27"/>
    <mergeCell ref="D31:I31"/>
    <mergeCell ref="D32:I32"/>
    <mergeCell ref="D33:I33"/>
    <mergeCell ref="D20:G20"/>
    <mergeCell ref="D21:G21"/>
    <mergeCell ref="D25:K25"/>
    <mergeCell ref="D26:K26"/>
    <mergeCell ref="A24:K24"/>
    <mergeCell ref="A23:K23"/>
    <mergeCell ref="D13:G13"/>
    <mergeCell ref="D12:G12"/>
    <mergeCell ref="D11:G11"/>
    <mergeCell ref="D10:G10"/>
    <mergeCell ref="D17:G17"/>
    <mergeCell ref="D16:G16"/>
    <mergeCell ref="D15:G15"/>
    <mergeCell ref="D14:G1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P32"/>
  <sheetViews>
    <sheetView workbookViewId="0" topLeftCell="A1">
      <selection activeCell="K16" sqref="K16"/>
    </sheetView>
  </sheetViews>
  <sheetFormatPr defaultColWidth="9.140625" defaultRowHeight="12.75"/>
  <cols>
    <col min="1" max="1" width="12.28125" style="0" customWidth="1"/>
    <col min="2" max="2" width="14.8515625" style="0" customWidth="1"/>
    <col min="3" max="3" width="9.7109375" style="0" customWidth="1"/>
    <col min="4" max="4" width="4.7109375" style="0" customWidth="1"/>
    <col min="5" max="5" width="12.7109375" style="0" customWidth="1"/>
    <col min="8" max="8" width="8.57421875" style="0" customWidth="1"/>
    <col min="10" max="10" width="5.140625" style="0" customWidth="1"/>
    <col min="11" max="11" width="9.28125" style="0" customWidth="1"/>
    <col min="12" max="12" width="12.8515625" style="0" customWidth="1"/>
    <col min="14" max="14" width="7.7109375" style="0" customWidth="1"/>
    <col min="16" max="16" width="3.140625" style="0" customWidth="1"/>
  </cols>
  <sheetData>
    <row r="1" spans="1:10" ht="15.75" thickBot="1">
      <c r="A1" s="132" t="s">
        <v>105</v>
      </c>
      <c r="B1" s="132"/>
      <c r="C1" s="132"/>
      <c r="D1" s="132"/>
      <c r="E1" s="132"/>
      <c r="F1" s="132"/>
      <c r="G1" s="132"/>
      <c r="H1" s="132"/>
      <c r="I1" s="132"/>
      <c r="J1" s="132"/>
    </row>
    <row r="2" spans="1:10" ht="12.75">
      <c r="A2" s="129" t="s">
        <v>33</v>
      </c>
      <c r="B2" s="130"/>
      <c r="C2" s="130"/>
      <c r="D2" s="130"/>
      <c r="E2" s="130"/>
      <c r="F2" s="130"/>
      <c r="G2" s="130"/>
      <c r="H2" s="130"/>
      <c r="I2" s="130"/>
      <c r="J2" s="131"/>
    </row>
    <row r="3" spans="1:10" ht="15">
      <c r="A3" s="43" t="s">
        <v>5</v>
      </c>
      <c r="B3" s="85">
        <v>200</v>
      </c>
      <c r="C3" s="4" t="s">
        <v>6</v>
      </c>
      <c r="D3" s="28" t="s">
        <v>12</v>
      </c>
      <c r="E3" s="28"/>
      <c r="F3" s="28"/>
      <c r="G3" s="28"/>
      <c r="H3" s="28"/>
      <c r="I3" s="28"/>
      <c r="J3" s="35"/>
    </row>
    <row r="4" spans="1:10" ht="15.75" thickBot="1">
      <c r="A4" s="43" t="s">
        <v>10</v>
      </c>
      <c r="B4" s="85">
        <f>1.25*B3</f>
        <v>250</v>
      </c>
      <c r="C4" s="4" t="s">
        <v>6</v>
      </c>
      <c r="D4" s="28" t="s">
        <v>13</v>
      </c>
      <c r="E4" s="28"/>
      <c r="F4" s="28"/>
      <c r="G4" s="28"/>
      <c r="H4" s="28"/>
      <c r="I4" s="28"/>
      <c r="J4" s="35"/>
    </row>
    <row r="5" spans="1:16" ht="15" customHeight="1">
      <c r="A5" s="43" t="s">
        <v>7</v>
      </c>
      <c r="B5" s="85">
        <v>0.5</v>
      </c>
      <c r="C5" s="4"/>
      <c r="D5" s="28" t="s">
        <v>14</v>
      </c>
      <c r="E5" s="28"/>
      <c r="F5" s="28"/>
      <c r="G5" s="28"/>
      <c r="H5" s="28"/>
      <c r="I5" s="28"/>
      <c r="J5" s="35"/>
      <c r="K5" s="111" t="s">
        <v>102</v>
      </c>
      <c r="L5" s="112"/>
      <c r="M5" s="112"/>
      <c r="N5" s="112"/>
      <c r="O5" s="112"/>
      <c r="P5" s="113"/>
    </row>
    <row r="6" spans="1:16" ht="16.5">
      <c r="A6" s="43" t="s">
        <v>8</v>
      </c>
      <c r="B6" s="85">
        <v>1000</v>
      </c>
      <c r="C6" s="4" t="s">
        <v>9</v>
      </c>
      <c r="D6" s="28" t="s">
        <v>11</v>
      </c>
      <c r="E6" s="28"/>
      <c r="F6" s="28"/>
      <c r="G6" s="28"/>
      <c r="H6" s="28"/>
      <c r="I6" s="28"/>
      <c r="J6" s="35"/>
      <c r="K6" s="114"/>
      <c r="L6" s="115"/>
      <c r="M6" s="115"/>
      <c r="N6" s="115"/>
      <c r="O6" s="115"/>
      <c r="P6" s="116"/>
    </row>
    <row r="7" spans="1:16" ht="15.75" thickBot="1">
      <c r="A7" s="43" t="s">
        <v>27</v>
      </c>
      <c r="B7" s="85">
        <v>1.5</v>
      </c>
      <c r="C7" s="4" t="s">
        <v>6</v>
      </c>
      <c r="D7" s="28" t="s">
        <v>30</v>
      </c>
      <c r="E7" s="28"/>
      <c r="F7" s="28"/>
      <c r="G7" s="28"/>
      <c r="H7" s="28"/>
      <c r="I7" s="28"/>
      <c r="J7" s="35"/>
      <c r="K7" s="117"/>
      <c r="L7" s="118"/>
      <c r="M7" s="118"/>
      <c r="N7" s="118"/>
      <c r="O7" s="118"/>
      <c r="P7" s="119"/>
    </row>
    <row r="8" spans="1:10" ht="15">
      <c r="A8" s="43" t="s">
        <v>28</v>
      </c>
      <c r="B8" s="85">
        <v>0.5</v>
      </c>
      <c r="C8" s="4" t="s">
        <v>6</v>
      </c>
      <c r="D8" s="28" t="s">
        <v>31</v>
      </c>
      <c r="E8" s="28"/>
      <c r="F8" s="28"/>
      <c r="G8" s="28"/>
      <c r="H8" s="28"/>
      <c r="I8" s="28"/>
      <c r="J8" s="35"/>
    </row>
    <row r="9" spans="1:10" ht="15.75" thickBot="1">
      <c r="A9" s="61" t="s">
        <v>29</v>
      </c>
      <c r="B9" s="86">
        <v>0.17</v>
      </c>
      <c r="C9" s="12" t="s">
        <v>6</v>
      </c>
      <c r="D9" s="36" t="s">
        <v>32</v>
      </c>
      <c r="E9" s="36"/>
      <c r="F9" s="36"/>
      <c r="G9" s="36"/>
      <c r="H9" s="36"/>
      <c r="I9" s="36"/>
      <c r="J9" s="37"/>
    </row>
    <row r="10" ht="13.5" thickBot="1"/>
    <row r="11" spans="1:14" ht="15.75" thickBot="1">
      <c r="A11" s="95" t="s">
        <v>34</v>
      </c>
      <c r="B11" s="96"/>
      <c r="C11" s="97"/>
      <c r="D11" s="19"/>
      <c r="E11" s="98" t="s">
        <v>88</v>
      </c>
      <c r="F11" s="99"/>
      <c r="G11" s="99"/>
      <c r="H11" s="99"/>
      <c r="I11" s="100"/>
      <c r="L11" s="101" t="s">
        <v>97</v>
      </c>
      <c r="M11" s="102"/>
      <c r="N11" s="103"/>
    </row>
    <row r="12" spans="1:14" ht="42">
      <c r="A12" s="5" t="s">
        <v>0</v>
      </c>
      <c r="B12" s="2" t="s">
        <v>1</v>
      </c>
      <c r="C12" s="6" t="s">
        <v>2</v>
      </c>
      <c r="D12" s="20"/>
      <c r="E12" s="72" t="s">
        <v>15</v>
      </c>
      <c r="F12" s="73" t="s">
        <v>3</v>
      </c>
      <c r="G12" s="73"/>
      <c r="H12" s="73" t="s">
        <v>4</v>
      </c>
      <c r="I12" s="74"/>
      <c r="L12" s="23" t="s">
        <v>20</v>
      </c>
      <c r="M12" s="24" t="str">
        <f>IF(E15&gt;5*B7,"Yes","No")</f>
        <v>Yes</v>
      </c>
      <c r="N12" s="25"/>
    </row>
    <row r="13" spans="1:14" ht="15">
      <c r="A13" s="7">
        <v>0</v>
      </c>
      <c r="B13" s="1">
        <v>0.25</v>
      </c>
      <c r="C13" s="8"/>
      <c r="D13" s="18"/>
      <c r="E13" s="75">
        <f>$B$4*B13</f>
        <v>62.5</v>
      </c>
      <c r="F13" s="76"/>
      <c r="G13" s="76"/>
      <c r="H13" s="76"/>
      <c r="I13" s="77"/>
      <c r="L13" s="15" t="s">
        <v>94</v>
      </c>
      <c r="M13" s="26">
        <f>40*B8</f>
        <v>20</v>
      </c>
      <c r="N13" s="11" t="s">
        <v>6</v>
      </c>
    </row>
    <row r="14" spans="1:14" ht="15">
      <c r="A14" s="7">
        <f>10+A13</f>
        <v>10</v>
      </c>
      <c r="B14" s="1">
        <v>0.35</v>
      </c>
      <c r="C14" s="8">
        <v>0.28</v>
      </c>
      <c r="D14" s="18"/>
      <c r="E14" s="75">
        <f aca="true" t="shared" si="0" ref="E14:E24">$B$4*B14</f>
        <v>87.5</v>
      </c>
      <c r="F14" s="76"/>
      <c r="G14" s="76"/>
      <c r="H14" s="76"/>
      <c r="I14" s="77"/>
      <c r="L14" s="15" t="s">
        <v>98</v>
      </c>
      <c r="M14" s="26">
        <f>B3/40</f>
        <v>5</v>
      </c>
      <c r="N14" s="11" t="s">
        <v>6</v>
      </c>
    </row>
    <row r="15" spans="1:14" ht="16.5">
      <c r="A15" s="7">
        <v>15</v>
      </c>
      <c r="B15" s="1">
        <f>B14+((B16-B14)*(($A15-$A14)/($A16-$A14)))</f>
        <v>0.425</v>
      </c>
      <c r="C15" s="8">
        <f>C14+((C16-C14)*(($A15-$A14)/($A16-$A14)))</f>
        <v>0.355</v>
      </c>
      <c r="D15" s="18"/>
      <c r="E15" s="75">
        <f t="shared" si="0"/>
        <v>106.25</v>
      </c>
      <c r="F15" s="78">
        <f>B6*B5</f>
        <v>500</v>
      </c>
      <c r="G15" s="79" t="s">
        <v>9</v>
      </c>
      <c r="H15" s="78">
        <f>F24/16</f>
        <v>62.5</v>
      </c>
      <c r="I15" s="80" t="s">
        <v>6</v>
      </c>
      <c r="L15" s="15" t="s">
        <v>21</v>
      </c>
      <c r="M15" s="26">
        <f>40*B9</f>
        <v>6.800000000000001</v>
      </c>
      <c r="N15" s="11" t="s">
        <v>6</v>
      </c>
    </row>
    <row r="16" spans="1:14" ht="15">
      <c r="A16" s="7">
        <f>10+A14</f>
        <v>20</v>
      </c>
      <c r="B16" s="1">
        <v>0.5</v>
      </c>
      <c r="C16" s="8">
        <v>0.43</v>
      </c>
      <c r="D16" s="18"/>
      <c r="E16" s="75">
        <f t="shared" si="0"/>
        <v>125</v>
      </c>
      <c r="F16" s="76"/>
      <c r="G16" s="76"/>
      <c r="H16" s="76"/>
      <c r="I16" s="77"/>
      <c r="L16" s="15" t="s">
        <v>22</v>
      </c>
      <c r="M16" s="26">
        <f>E15/5</f>
        <v>21.25</v>
      </c>
      <c r="N16" s="11" t="s">
        <v>6</v>
      </c>
    </row>
    <row r="17" spans="1:14" ht="15">
      <c r="A17" s="7">
        <f aca="true" t="shared" si="1" ref="A17:A24">10+A16</f>
        <v>30</v>
      </c>
      <c r="B17" s="1">
        <v>0.65</v>
      </c>
      <c r="C17" s="8">
        <v>0.57</v>
      </c>
      <c r="D17" s="18"/>
      <c r="E17" s="75">
        <f t="shared" si="0"/>
        <v>162.5</v>
      </c>
      <c r="F17" s="76"/>
      <c r="G17" s="76"/>
      <c r="H17" s="76"/>
      <c r="I17" s="77"/>
      <c r="L17" s="15" t="s">
        <v>25</v>
      </c>
      <c r="M17" s="26">
        <f>5*B7</f>
        <v>7.5</v>
      </c>
      <c r="N17" s="11" t="s">
        <v>6</v>
      </c>
    </row>
    <row r="18" spans="1:14" ht="15">
      <c r="A18" s="7">
        <f t="shared" si="1"/>
        <v>40</v>
      </c>
      <c r="B18" s="1">
        <v>0.8</v>
      </c>
      <c r="C18" s="8">
        <v>0.72</v>
      </c>
      <c r="D18" s="18"/>
      <c r="E18" s="75">
        <f t="shared" si="0"/>
        <v>200</v>
      </c>
      <c r="F18" s="76"/>
      <c r="G18" s="76"/>
      <c r="H18" s="76"/>
      <c r="I18" s="77"/>
      <c r="L18" s="15" t="s">
        <v>23</v>
      </c>
      <c r="M18" s="26">
        <f>E15/40</f>
        <v>2.65625</v>
      </c>
      <c r="N18" s="11" t="s">
        <v>6</v>
      </c>
    </row>
    <row r="19" spans="1:14" ht="15">
      <c r="A19" s="7">
        <f t="shared" si="1"/>
        <v>50</v>
      </c>
      <c r="B19" s="1">
        <v>1</v>
      </c>
      <c r="C19" s="8">
        <v>0.9</v>
      </c>
      <c r="D19" s="18"/>
      <c r="E19" s="75">
        <f t="shared" si="0"/>
        <v>250</v>
      </c>
      <c r="F19" s="78">
        <f>5*H19</f>
        <v>1000</v>
      </c>
      <c r="G19" s="79" t="s">
        <v>6</v>
      </c>
      <c r="H19" s="78">
        <f>B3</f>
        <v>200</v>
      </c>
      <c r="I19" s="80" t="s">
        <v>6</v>
      </c>
      <c r="L19" s="15" t="s">
        <v>24</v>
      </c>
      <c r="M19" s="26">
        <f>5*B9</f>
        <v>0.8500000000000001</v>
      </c>
      <c r="N19" s="11" t="s">
        <v>6</v>
      </c>
    </row>
    <row r="20" spans="1:14" ht="15.75" thickBot="1">
      <c r="A20" s="7">
        <f t="shared" si="1"/>
        <v>60</v>
      </c>
      <c r="B20" s="1">
        <v>1.2</v>
      </c>
      <c r="C20" s="8">
        <v>1.1</v>
      </c>
      <c r="D20" s="18"/>
      <c r="E20" s="75">
        <f t="shared" si="0"/>
        <v>300</v>
      </c>
      <c r="F20" s="76"/>
      <c r="G20" s="76"/>
      <c r="H20" s="76"/>
      <c r="I20" s="77"/>
      <c r="L20" s="16" t="s">
        <v>26</v>
      </c>
      <c r="M20" s="27">
        <f>E15/5</f>
        <v>21.25</v>
      </c>
      <c r="N20" s="13" t="s">
        <v>6</v>
      </c>
    </row>
    <row r="21" spans="1:12" ht="15">
      <c r="A21" s="7">
        <f t="shared" si="1"/>
        <v>70</v>
      </c>
      <c r="B21" s="1">
        <v>1.6</v>
      </c>
      <c r="C21" s="8">
        <v>1.5</v>
      </c>
      <c r="D21" s="18"/>
      <c r="E21" s="75">
        <f t="shared" si="0"/>
        <v>400</v>
      </c>
      <c r="F21" s="76"/>
      <c r="G21" s="76"/>
      <c r="H21" s="76"/>
      <c r="I21" s="77"/>
      <c r="L21" s="58" t="s">
        <v>92</v>
      </c>
    </row>
    <row r="22" spans="1:9" ht="13.5" thickBot="1">
      <c r="A22" s="7">
        <v>85</v>
      </c>
      <c r="B22" s="1">
        <f>B21+((B23-B21)*(($A22-$A21)/($A23-$A21)))</f>
        <v>1.75</v>
      </c>
      <c r="C22" s="8">
        <f>C21+((C23-C21)*(($A22-$A21)/($A23-$A21)))</f>
        <v>1.65</v>
      </c>
      <c r="D22" s="18"/>
      <c r="E22" s="75">
        <f t="shared" si="0"/>
        <v>437.5</v>
      </c>
      <c r="F22" s="76"/>
      <c r="G22" s="76"/>
      <c r="H22" s="76"/>
      <c r="I22" s="77"/>
    </row>
    <row r="23" spans="1:14" ht="12.75">
      <c r="A23" s="7">
        <v>90</v>
      </c>
      <c r="B23" s="1">
        <v>1.8</v>
      </c>
      <c r="C23" s="8">
        <v>1.7</v>
      </c>
      <c r="D23" s="18"/>
      <c r="E23" s="75">
        <f t="shared" si="0"/>
        <v>450</v>
      </c>
      <c r="F23" s="76"/>
      <c r="G23" s="76"/>
      <c r="H23" s="76"/>
      <c r="I23" s="77"/>
      <c r="L23" s="104" t="s">
        <v>93</v>
      </c>
      <c r="M23" s="105"/>
      <c r="N23" s="106"/>
    </row>
    <row r="24" spans="1:14" ht="15.75" thickBot="1">
      <c r="A24" s="9">
        <f t="shared" si="1"/>
        <v>100</v>
      </c>
      <c r="B24" s="10">
        <v>2</v>
      </c>
      <c r="C24" s="60">
        <v>1.9</v>
      </c>
      <c r="D24" s="18"/>
      <c r="E24" s="81">
        <f t="shared" si="0"/>
        <v>500</v>
      </c>
      <c r="F24" s="82">
        <f>5*H19</f>
        <v>1000</v>
      </c>
      <c r="G24" s="83" t="s">
        <v>6</v>
      </c>
      <c r="H24" s="82">
        <f>2*H19</f>
        <v>400</v>
      </c>
      <c r="I24" s="84" t="s">
        <v>6</v>
      </c>
      <c r="L24" s="68" t="s">
        <v>94</v>
      </c>
      <c r="M24" s="69">
        <f>M13</f>
        <v>20</v>
      </c>
      <c r="N24" s="64" t="s">
        <v>6</v>
      </c>
    </row>
    <row r="25" spans="1:14" ht="16.5">
      <c r="A25" s="59" t="s">
        <v>35</v>
      </c>
      <c r="B25" s="59"/>
      <c r="C25" s="59"/>
      <c r="D25" s="3"/>
      <c r="E25" s="58" t="s">
        <v>89</v>
      </c>
      <c r="L25" s="68" t="s">
        <v>98</v>
      </c>
      <c r="M25" s="69">
        <f>M14</f>
        <v>5</v>
      </c>
      <c r="N25" s="64"/>
    </row>
    <row r="26" spans="12:14" ht="15.75" thickBot="1">
      <c r="L26" s="68" t="s">
        <v>95</v>
      </c>
      <c r="M26" s="69">
        <f>MIN(M15:M17)</f>
        <v>6.800000000000001</v>
      </c>
      <c r="N26" s="64" t="s">
        <v>6</v>
      </c>
    </row>
    <row r="27" spans="2:14" ht="16.5">
      <c r="B27" s="107" t="s">
        <v>90</v>
      </c>
      <c r="C27" s="108"/>
      <c r="D27" s="109"/>
      <c r="L27" s="68" t="s">
        <v>96</v>
      </c>
      <c r="M27" s="69">
        <f>MAX(M18:M19)</f>
        <v>2.65625</v>
      </c>
      <c r="N27" s="64" t="s">
        <v>6</v>
      </c>
    </row>
    <row r="28" spans="2:14" ht="27.75" thickBot="1">
      <c r="B28" s="62" t="s">
        <v>16</v>
      </c>
      <c r="C28" s="63">
        <f>IF(1.5*E19&gt;E24,IF(1.5*E19&gt;300,1.5*E19,300),IF(E24&gt;300,E24,300))</f>
        <v>500</v>
      </c>
      <c r="D28" s="64" t="s">
        <v>6</v>
      </c>
      <c r="L28" s="70" t="s">
        <v>26</v>
      </c>
      <c r="M28" s="71">
        <f>M20</f>
        <v>21.25</v>
      </c>
      <c r="N28" s="67" t="s">
        <v>6</v>
      </c>
    </row>
    <row r="29" spans="2:4" ht="52.5">
      <c r="B29" s="62" t="s">
        <v>17</v>
      </c>
      <c r="C29" s="63">
        <f>1.5*C28</f>
        <v>750</v>
      </c>
      <c r="D29" s="64" t="s">
        <v>6</v>
      </c>
    </row>
    <row r="30" spans="2:4" ht="78.75">
      <c r="B30" s="62" t="s">
        <v>18</v>
      </c>
      <c r="C30" s="63">
        <f>C29+150</f>
        <v>900</v>
      </c>
      <c r="D30" s="64" t="s">
        <v>6</v>
      </c>
    </row>
    <row r="31" spans="2:4" ht="79.5" thickBot="1">
      <c r="B31" s="65" t="s">
        <v>19</v>
      </c>
      <c r="C31" s="66">
        <f>C29+300</f>
        <v>1050</v>
      </c>
      <c r="D31" s="67" t="s">
        <v>6</v>
      </c>
    </row>
    <row r="32" ht="15">
      <c r="B32" s="58" t="s">
        <v>91</v>
      </c>
    </row>
  </sheetData>
  <mergeCells count="23">
    <mergeCell ref="A1:J1"/>
    <mergeCell ref="B27:D27"/>
    <mergeCell ref="D4:J4"/>
    <mergeCell ref="D6:J6"/>
    <mergeCell ref="D5:J5"/>
    <mergeCell ref="D7:J7"/>
    <mergeCell ref="D8:J8"/>
    <mergeCell ref="D9:J9"/>
    <mergeCell ref="E11:I11"/>
    <mergeCell ref="L11:N11"/>
    <mergeCell ref="A11:C11"/>
    <mergeCell ref="D3:J3"/>
    <mergeCell ref="K5:P7"/>
    <mergeCell ref="F20:G23"/>
    <mergeCell ref="F16:G18"/>
    <mergeCell ref="F13:G14"/>
    <mergeCell ref="H13:I14"/>
    <mergeCell ref="H16:I18"/>
    <mergeCell ref="H20:I23"/>
    <mergeCell ref="A25:C25"/>
    <mergeCell ref="F12:G12"/>
    <mergeCell ref="H12:I12"/>
    <mergeCell ref="L23:N23"/>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Riprap and filter design</dc:title>
  <dc:subject/>
  <dc:creator>Todd Rivas</dc:creator>
  <cp:keywords/>
  <dc:description/>
  <cp:lastModifiedBy>Todd Rivas</cp:lastModifiedBy>
  <dcterms:created xsi:type="dcterms:W3CDTF">2003-03-26T22:01:44Z</dcterms:created>
  <dcterms:modified xsi:type="dcterms:W3CDTF">2003-03-28T07:47:46Z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lpwstr>3-27-03</vt:lpwstr>
  </property>
</Properties>
</file>