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ier Scour" sheetId="1" r:id="rId1"/>
    <sheet name="Abutment Scour" sheetId="2" r:id="rId2"/>
  </sheets>
  <definedNames/>
  <calcPr fullCalcOnLoad="1"/>
</workbook>
</file>

<file path=xl/sharedStrings.xml><?xml version="1.0" encoding="utf-8"?>
<sst xmlns="http://schemas.openxmlformats.org/spreadsheetml/2006/main" count="116" uniqueCount="59">
  <si>
    <t>Pier Shape</t>
  </si>
  <si>
    <t>Pier Length</t>
  </si>
  <si>
    <t>Pier Width</t>
  </si>
  <si>
    <t>Units</t>
  </si>
  <si>
    <t>Upstream Flow Depth</t>
  </si>
  <si>
    <t>Upstream Average Velocity</t>
  </si>
  <si>
    <t>Upstream Froude Number</t>
  </si>
  <si>
    <t>Bed Material D50</t>
  </si>
  <si>
    <t>Bed Material D95</t>
  </si>
  <si>
    <t>Angle of Attack</t>
  </si>
  <si>
    <t>English</t>
  </si>
  <si>
    <t>SI</t>
  </si>
  <si>
    <t>Square Nose</t>
  </si>
  <si>
    <t>Round Nose</t>
  </si>
  <si>
    <t>Cylinder</t>
  </si>
  <si>
    <t>Sharp Nose</t>
  </si>
  <si>
    <t>Group of Cylinders</t>
  </si>
  <si>
    <t>K1</t>
  </si>
  <si>
    <t>K2</t>
  </si>
  <si>
    <t>K3</t>
  </si>
  <si>
    <t>K4</t>
  </si>
  <si>
    <t>Bed Conditions</t>
  </si>
  <si>
    <t>Pier Types</t>
  </si>
  <si>
    <t>Clear-Water Scour</t>
  </si>
  <si>
    <t>Plane bed and Antidune flow</t>
  </si>
  <si>
    <t>Small Dunes</t>
  </si>
  <si>
    <t>Medium Dunes</t>
  </si>
  <si>
    <t>Large Dunes</t>
  </si>
  <si>
    <t>Dune Height</t>
  </si>
  <si>
    <t>VR</t>
  </si>
  <si>
    <t>VicD50</t>
  </si>
  <si>
    <t>VcD50</t>
  </si>
  <si>
    <t>ViCD95</t>
  </si>
  <si>
    <t>VcD95</t>
  </si>
  <si>
    <t>Ku</t>
  </si>
  <si>
    <t>m</t>
  </si>
  <si>
    <t>m/s</t>
  </si>
  <si>
    <t>Degrees</t>
  </si>
  <si>
    <t>ft</t>
  </si>
  <si>
    <t>ft/s</t>
  </si>
  <si>
    <t>Scour Depth</t>
  </si>
  <si>
    <t>Pier Scour Predition Computations from HEC-18</t>
  </si>
  <si>
    <t>and Tables 6.1, 6.2 6.3</t>
  </si>
  <si>
    <t>Utilizing Equations 6.3, 6.4, 6.5, 6.6, 6.7, 6.8</t>
  </si>
  <si>
    <t>Input Cells</t>
  </si>
  <si>
    <t>Output Cells</t>
  </si>
  <si>
    <t>Figures adapted from HEC-18 (FHWA)</t>
  </si>
  <si>
    <t>Computation of Abutment Scour</t>
  </si>
  <si>
    <t>Using HEC-18 Equations, 7.1, 7.2 and</t>
  </si>
  <si>
    <t>Figures 7.4, 7.5, 7.6 and Table 7.1</t>
  </si>
  <si>
    <t>Average Channel Flow Depth</t>
  </si>
  <si>
    <t>Average Flow Depth on the Floodplain</t>
  </si>
  <si>
    <t>Effective Length (L')</t>
  </si>
  <si>
    <t>Froude Number</t>
  </si>
  <si>
    <t>Abutment Shape</t>
  </si>
  <si>
    <t>Vertical-wall abutment with wing walls</t>
  </si>
  <si>
    <t>Angle to the Flow</t>
  </si>
  <si>
    <t xml:space="preserve"> Scour Depth</t>
  </si>
  <si>
    <t>Scour Depth (HIRE)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</si>
</sst>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0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29</xdr:row>
      <xdr:rowOff>152400</xdr:rowOff>
    </xdr:from>
    <xdr:to>
      <xdr:col>5</xdr:col>
      <xdr:colOff>676275</xdr:colOff>
      <xdr:row>46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848225"/>
          <a:ext cx="4676775" cy="2733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1</xdr:row>
      <xdr:rowOff>0</xdr:rowOff>
    </xdr:from>
    <xdr:to>
      <xdr:col>16</xdr:col>
      <xdr:colOff>180975</xdr:colOff>
      <xdr:row>22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61925"/>
          <a:ext cx="6029325" cy="3457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17</xdr:row>
      <xdr:rowOff>123825</xdr:rowOff>
    </xdr:from>
    <xdr:to>
      <xdr:col>4</xdr:col>
      <xdr:colOff>1943100</xdr:colOff>
      <xdr:row>38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6285" r="8502"/>
        <a:stretch>
          <a:fillRect/>
        </a:stretch>
      </xdr:blipFill>
      <xdr:spPr>
        <a:xfrm>
          <a:off x="3181350" y="2876550"/>
          <a:ext cx="4391025" cy="3314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295275</xdr:colOff>
      <xdr:row>23</xdr:row>
      <xdr:rowOff>9525</xdr:rowOff>
    </xdr:from>
    <xdr:to>
      <xdr:col>16</xdr:col>
      <xdr:colOff>142875</xdr:colOff>
      <xdr:row>44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39175" y="3733800"/>
          <a:ext cx="5943600" cy="3533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3.8515625" style="0" bestFit="1" customWidth="1"/>
    <col min="3" max="3" width="24.8515625" style="2" bestFit="1" customWidth="1"/>
    <col min="4" max="4" width="7.8515625" style="0" bestFit="1" customWidth="1"/>
    <col min="5" max="5" width="4.421875" style="0" customWidth="1"/>
    <col min="6" max="6" width="23.8515625" style="0" bestFit="1" customWidth="1"/>
    <col min="7" max="7" width="24.8515625" style="0" bestFit="1" customWidth="1"/>
    <col min="8" max="8" width="7.8515625" style="0" bestFit="1" customWidth="1"/>
  </cols>
  <sheetData>
    <row r="1" spans="2:6" ht="12.75">
      <c r="B1" s="9" t="s">
        <v>41</v>
      </c>
      <c r="F1" s="12" t="s">
        <v>44</v>
      </c>
    </row>
    <row r="2" spans="2:6" ht="12.75">
      <c r="B2" s="9" t="s">
        <v>43</v>
      </c>
      <c r="F2" s="13" t="s">
        <v>45</v>
      </c>
    </row>
    <row r="3" ht="12.75">
      <c r="B3" s="9" t="s">
        <v>42</v>
      </c>
    </row>
    <row r="6" spans="2:7" ht="12.75">
      <c r="B6" s="1" t="s">
        <v>3</v>
      </c>
      <c r="C6" s="10" t="s">
        <v>10</v>
      </c>
      <c r="F6" s="1" t="s">
        <v>3</v>
      </c>
      <c r="G6" s="10" t="s">
        <v>11</v>
      </c>
    </row>
    <row r="7" spans="2:8" ht="12.75">
      <c r="B7" s="1" t="s">
        <v>0</v>
      </c>
      <c r="C7" s="3" t="s">
        <v>13</v>
      </c>
      <c r="D7" t="s">
        <v>38</v>
      </c>
      <c r="F7" s="1" t="s">
        <v>0</v>
      </c>
      <c r="G7" s="3" t="s">
        <v>13</v>
      </c>
      <c r="H7" t="s">
        <v>35</v>
      </c>
    </row>
    <row r="8" spans="2:8" ht="12.75">
      <c r="B8" s="1" t="s">
        <v>1</v>
      </c>
      <c r="C8" s="3">
        <v>30</v>
      </c>
      <c r="D8" t="s">
        <v>38</v>
      </c>
      <c r="F8" s="1" t="s">
        <v>1</v>
      </c>
      <c r="G8" s="8">
        <f>C8/3.28</f>
        <v>9.146341463414634</v>
      </c>
      <c r="H8" t="s">
        <v>35</v>
      </c>
    </row>
    <row r="9" spans="2:8" ht="12.75">
      <c r="B9" s="1" t="s">
        <v>2</v>
      </c>
      <c r="C9" s="3">
        <v>2</v>
      </c>
      <c r="D9" t="s">
        <v>38</v>
      </c>
      <c r="F9" s="1" t="s">
        <v>2</v>
      </c>
      <c r="G9" s="8">
        <f>C9/3.28</f>
        <v>0.6097560975609756</v>
      </c>
      <c r="H9" t="s">
        <v>35</v>
      </c>
    </row>
    <row r="10" spans="2:8" ht="12.75">
      <c r="B10" s="1" t="s">
        <v>4</v>
      </c>
      <c r="C10" s="3">
        <v>2</v>
      </c>
      <c r="D10" t="s">
        <v>38</v>
      </c>
      <c r="F10" s="1" t="s">
        <v>4</v>
      </c>
      <c r="G10" s="8">
        <f>C10/3.28</f>
        <v>0.6097560975609756</v>
      </c>
      <c r="H10" t="s">
        <v>35</v>
      </c>
    </row>
    <row r="11" spans="2:8" ht="12.75">
      <c r="B11" s="1" t="s">
        <v>5</v>
      </c>
      <c r="C11" s="3">
        <v>2</v>
      </c>
      <c r="D11" t="s">
        <v>39</v>
      </c>
      <c r="F11" s="1" t="s">
        <v>5</v>
      </c>
      <c r="G11" s="8">
        <f>C11/3.28</f>
        <v>0.6097560975609756</v>
      </c>
      <c r="H11" t="s">
        <v>36</v>
      </c>
    </row>
    <row r="12" spans="2:8" ht="12.75">
      <c r="B12" s="1" t="s">
        <v>7</v>
      </c>
      <c r="C12" s="5">
        <f>1/16/12</f>
        <v>0.005208333333333333</v>
      </c>
      <c r="D12" t="s">
        <v>38</v>
      </c>
      <c r="F12" s="1" t="s">
        <v>7</v>
      </c>
      <c r="G12" s="5">
        <v>0.0015</v>
      </c>
      <c r="H12" t="s">
        <v>35</v>
      </c>
    </row>
    <row r="13" spans="2:8" ht="12.75">
      <c r="B13" s="1" t="s">
        <v>8</v>
      </c>
      <c r="C13" s="5">
        <f>0.25/12</f>
        <v>0.020833333333333332</v>
      </c>
      <c r="D13" t="s">
        <v>38</v>
      </c>
      <c r="F13" s="1" t="s">
        <v>8</v>
      </c>
      <c r="G13" s="5">
        <v>0.02</v>
      </c>
      <c r="H13" t="s">
        <v>35</v>
      </c>
    </row>
    <row r="14" spans="2:8" ht="12.75">
      <c r="B14" s="1" t="s">
        <v>9</v>
      </c>
      <c r="C14" s="3">
        <v>25</v>
      </c>
      <c r="D14" t="s">
        <v>37</v>
      </c>
      <c r="F14" s="1" t="s">
        <v>9</v>
      </c>
      <c r="G14" s="3">
        <v>25</v>
      </c>
      <c r="H14" t="s">
        <v>37</v>
      </c>
    </row>
    <row r="15" spans="2:7" ht="12.75">
      <c r="B15" s="1" t="s">
        <v>21</v>
      </c>
      <c r="C15" s="3" t="s">
        <v>25</v>
      </c>
      <c r="F15" s="1" t="s">
        <v>21</v>
      </c>
      <c r="G15" s="3" t="s">
        <v>24</v>
      </c>
    </row>
    <row r="16" spans="2:8" ht="12.75">
      <c r="B16" s="1" t="s">
        <v>28</v>
      </c>
      <c r="C16" s="3">
        <v>0</v>
      </c>
      <c r="D16" t="s">
        <v>38</v>
      </c>
      <c r="F16" s="1" t="s">
        <v>28</v>
      </c>
      <c r="G16" s="3">
        <v>0</v>
      </c>
      <c r="H16" t="s">
        <v>35</v>
      </c>
    </row>
    <row r="18" spans="2:7" ht="12.75">
      <c r="B18" s="1" t="s">
        <v>6</v>
      </c>
      <c r="C18" s="11">
        <f>IF(C8="","",C11/SQRT(32.17*C10))</f>
        <v>0.24933857171470908</v>
      </c>
      <c r="F18" s="1" t="s">
        <v>6</v>
      </c>
      <c r="G18" s="11">
        <f>IF(G8="","",G11/SQRT(9.81*G10))</f>
        <v>0.24931222366462696</v>
      </c>
    </row>
    <row r="19" spans="2:7" ht="12.75">
      <c r="B19" s="4" t="s">
        <v>34</v>
      </c>
      <c r="C19" s="6">
        <f>IF($C$6="","",11.17)</f>
        <v>11.17</v>
      </c>
      <c r="F19" s="4" t="s">
        <v>34</v>
      </c>
      <c r="G19" s="6">
        <f>IF($G$6="","",6.19)</f>
        <v>6.19</v>
      </c>
    </row>
    <row r="20" spans="2:7" ht="12.75">
      <c r="B20" s="1" t="s">
        <v>31</v>
      </c>
      <c r="C20" s="7">
        <f>IF(C6="","",C19*C10^(1/6)*C12^(1/3))</f>
        <v>2.173323767561135</v>
      </c>
      <c r="F20" s="1" t="s">
        <v>31</v>
      </c>
      <c r="G20" s="7">
        <f>IF(G6="","",G19*G10^(1/6)*G12^(1/3))</f>
        <v>0.6524998668146181</v>
      </c>
    </row>
    <row r="21" spans="2:7" ht="12.75">
      <c r="B21" s="1" t="s">
        <v>30</v>
      </c>
      <c r="C21" s="7">
        <f>IF(C6="","",0.645*(C12/C9)^0.053*C20)</f>
        <v>1.022620722886632</v>
      </c>
      <c r="F21" s="1" t="s">
        <v>30</v>
      </c>
      <c r="G21" s="7">
        <f>IF(G6="","",0.645*(G12/G9)^0.053*G20)</f>
        <v>0.30609744367914066</v>
      </c>
    </row>
    <row r="22" spans="2:7" ht="12.75">
      <c r="B22" s="1" t="s">
        <v>33</v>
      </c>
      <c r="C22" s="7">
        <f>IF(C6="","",C19*C10^(1/6)*C13^(1/3))</f>
        <v>3.4499364348940356</v>
      </c>
      <c r="F22" s="1" t="s">
        <v>33</v>
      </c>
      <c r="G22" s="7">
        <f>IF(G6="","",G19*G10^(1/6)*G13^(1/3))</f>
        <v>1.5472482716357152</v>
      </c>
    </row>
    <row r="23" spans="2:7" ht="12.75">
      <c r="B23" s="1" t="s">
        <v>32</v>
      </c>
      <c r="C23" s="7">
        <f>IF(C6="","",0.645*(C13/C9)^0.053*C22)</f>
        <v>1.747070508104992</v>
      </c>
      <c r="F23" s="1" t="s">
        <v>32</v>
      </c>
      <c r="G23" s="7">
        <f>IF(G6="","",0.645*(G13/G9)^0.053*G22)</f>
        <v>0.8326472165408154</v>
      </c>
    </row>
    <row r="24" spans="2:7" ht="12.75">
      <c r="B24" s="4" t="s">
        <v>29</v>
      </c>
      <c r="C24" s="7">
        <f>IF(C6="","",(C11-C21)/(C20-C23))</f>
        <v>2.292954377311759</v>
      </c>
      <c r="F24" s="4" t="s">
        <v>29</v>
      </c>
      <c r="G24" s="7">
        <f>IF(G6="","",(G11-G21)/(G20-G23))</f>
        <v>-1.6856126628749202</v>
      </c>
    </row>
    <row r="25" spans="2:7" ht="12.75">
      <c r="B25" s="4" t="s">
        <v>17</v>
      </c>
      <c r="C25" s="7">
        <f>IF($C$6="","",IF(C14&gt;5,1,IF(C7="Square Nose",1.1,IF(C7="Sharp Nose",0.9,1))))</f>
        <v>1</v>
      </c>
      <c r="F25" s="4" t="s">
        <v>17</v>
      </c>
      <c r="G25" s="7">
        <f>IF($G$6="","",IF(G14&gt;5,1,IF(G7="Square Nose",1.1,IF(G7="Sharp Nose",0.9,1))))</f>
        <v>1</v>
      </c>
    </row>
    <row r="26" spans="2:7" ht="12.75">
      <c r="B26" s="4" t="s">
        <v>18</v>
      </c>
      <c r="C26" s="7">
        <f>IF(C6="","",IF(C8/C9&lt;12,(COS(RADIANS(C14))+C8/C9*SIN(RADIANS(C14)))^0.65,(COS(RADIANS(C14))+12*SIN(RADIANS(C14)))^0.65))</f>
        <v>3.197042773194197</v>
      </c>
      <c r="F26" s="4" t="s">
        <v>18</v>
      </c>
      <c r="G26" s="7">
        <f>IF(G6="","",IF(G8/G9&lt;12,(COS(RADIANS(G14))+G8/G9*SIN(RADIANS(G14)))^0.65,(COS(RADIANS(G14))+12*SIN(RADIANS(G14)))^0.65))</f>
        <v>3.197042773194197</v>
      </c>
    </row>
    <row r="27" spans="2:7" ht="12.75">
      <c r="B27" s="4" t="s">
        <v>19</v>
      </c>
      <c r="C27" s="6">
        <f>IF(C6="","",IF(AND(C16&gt;3*3.28,C16&lt;9*3.28),1.15,IF(C16&gt;9*3.28,1.3,1.1)))</f>
        <v>1.1</v>
      </c>
      <c r="F27" s="4" t="s">
        <v>19</v>
      </c>
      <c r="G27" s="6">
        <f>IF(G6="","",IF(AND(G16&gt;3,G16&lt;9),1.15,IF(G16&gt;9,1.3,1.1)))</f>
        <v>1.1</v>
      </c>
    </row>
    <row r="28" spans="2:7" ht="12.75">
      <c r="B28" s="4" t="s">
        <v>20</v>
      </c>
      <c r="C28" s="7">
        <f>IF(C6="","",IF(OR(C12&lt;(2/25.4/12),C13&lt;(20/25.4/12)),1,0.4*C24^0.15))</f>
        <v>1</v>
      </c>
      <c r="F28" s="4" t="s">
        <v>20</v>
      </c>
      <c r="G28" s="7">
        <f>IF(G6="","",IF(OR(G12&lt;(2),G13&lt;(20)),1,0.4*G24^0.15))</f>
        <v>1</v>
      </c>
    </row>
    <row r="29" spans="2:8" ht="12.75">
      <c r="B29" s="4" t="s">
        <v>40</v>
      </c>
      <c r="C29" s="7">
        <f>IF(C6="","",C9*2*C25*C26*C27*C28*(C10/C9)^0.35*C18^0.43)</f>
        <v>7.741419359190583</v>
      </c>
      <c r="D29" t="s">
        <v>38</v>
      </c>
      <c r="F29" s="4" t="s">
        <v>40</v>
      </c>
      <c r="G29" s="7">
        <f>IF(G6="","",G9*2*G25*G26*G27*G28*(G10/G9)^0.35*G18^0.43)</f>
        <v>2.360081581491499</v>
      </c>
      <c r="H29" t="s">
        <v>35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>
      <c r="B49" t="s">
        <v>46</v>
      </c>
    </row>
    <row r="102" spans="1:2" ht="12.75">
      <c r="A102" t="s">
        <v>22</v>
      </c>
      <c r="B102" t="s">
        <v>21</v>
      </c>
    </row>
    <row r="103" spans="1:2" ht="12.75">
      <c r="A103" t="s">
        <v>12</v>
      </c>
      <c r="B103" t="s">
        <v>23</v>
      </c>
    </row>
    <row r="104" spans="1:2" ht="12.75">
      <c r="A104" t="s">
        <v>13</v>
      </c>
      <c r="B104" t="s">
        <v>24</v>
      </c>
    </row>
    <row r="105" spans="1:2" ht="12.75">
      <c r="A105" t="s">
        <v>14</v>
      </c>
      <c r="B105" t="s">
        <v>25</v>
      </c>
    </row>
    <row r="106" spans="1:2" ht="12.75">
      <c r="A106" t="s">
        <v>15</v>
      </c>
      <c r="B106" t="s">
        <v>26</v>
      </c>
    </row>
    <row r="107" spans="1:2" ht="12.75">
      <c r="A107" t="s">
        <v>16</v>
      </c>
      <c r="B107" t="s">
        <v>27</v>
      </c>
    </row>
  </sheetData>
  <dataValidations count="2">
    <dataValidation type="list" allowBlank="1" showInputMessage="1" showErrorMessage="1" sqref="C7 G7">
      <formula1>$A$103:$A$107</formula1>
    </dataValidation>
    <dataValidation type="list" allowBlank="1" showInputMessage="1" showErrorMessage="1" sqref="C15 G15">
      <formula1>$B$103:$B$107</formula1>
    </dataValidation>
  </dataValidation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1"/>
  <sheetViews>
    <sheetView tabSelected="1" workbookViewId="0" topLeftCell="A1">
      <selection activeCell="A1" sqref="A1"/>
    </sheetView>
  </sheetViews>
  <sheetFormatPr defaultColWidth="9.140625" defaultRowHeight="12.75"/>
  <cols>
    <col min="2" max="2" width="34.57421875" style="0" bestFit="1" customWidth="1"/>
    <col min="3" max="3" width="32.8515625" style="0" bestFit="1" customWidth="1"/>
    <col min="4" max="4" width="7.8515625" style="0" bestFit="1" customWidth="1"/>
    <col min="5" max="5" width="32.8515625" style="0" bestFit="1" customWidth="1"/>
    <col min="6" max="6" width="7.8515625" style="0" bestFit="1" customWidth="1"/>
  </cols>
  <sheetData>
    <row r="2" ht="12.75">
      <c r="B2" s="9" t="s">
        <v>47</v>
      </c>
    </row>
    <row r="3" ht="12.75">
      <c r="B3" s="9" t="s">
        <v>48</v>
      </c>
    </row>
    <row r="4" ht="12.75">
      <c r="B4" s="9" t="s">
        <v>49</v>
      </c>
    </row>
    <row r="6" spans="2:6" ht="12.75">
      <c r="B6" s="1" t="s">
        <v>50</v>
      </c>
      <c r="C6" s="3">
        <v>2.3</v>
      </c>
      <c r="D6" t="s">
        <v>38</v>
      </c>
      <c r="E6" s="8">
        <f>C6/3.28</f>
        <v>0.7012195121951219</v>
      </c>
      <c r="F6" t="s">
        <v>35</v>
      </c>
    </row>
    <row r="7" spans="2:6" ht="12.75">
      <c r="B7" s="1" t="s">
        <v>51</v>
      </c>
      <c r="C7" s="3">
        <v>1</v>
      </c>
      <c r="D7" t="s">
        <v>38</v>
      </c>
      <c r="E7" s="8">
        <f>C7/3.28</f>
        <v>0.3048780487804878</v>
      </c>
      <c r="F7" t="s">
        <v>35</v>
      </c>
    </row>
    <row r="8" spans="2:6" ht="12.75">
      <c r="B8" s="1" t="s">
        <v>52</v>
      </c>
      <c r="C8" s="3">
        <v>100</v>
      </c>
      <c r="D8" t="s">
        <v>38</v>
      </c>
      <c r="E8" s="8">
        <f>C8/3.28</f>
        <v>30.48780487804878</v>
      </c>
      <c r="F8" t="s">
        <v>35</v>
      </c>
    </row>
    <row r="9" spans="2:5" ht="12.75">
      <c r="B9" s="1" t="s">
        <v>53</v>
      </c>
      <c r="C9" s="3">
        <v>0.5</v>
      </c>
      <c r="E9" s="3">
        <v>0.5</v>
      </c>
    </row>
    <row r="10" spans="2:5" ht="12.75">
      <c r="B10" s="1" t="s">
        <v>54</v>
      </c>
      <c r="C10" s="3" t="s">
        <v>55</v>
      </c>
      <c r="E10" s="3" t="s">
        <v>55</v>
      </c>
    </row>
    <row r="11" spans="2:6" ht="12.75">
      <c r="B11" s="1" t="s">
        <v>56</v>
      </c>
      <c r="C11" s="3">
        <v>45</v>
      </c>
      <c r="D11" t="s">
        <v>37</v>
      </c>
      <c r="E11" s="3">
        <v>45</v>
      </c>
      <c r="F11" t="s">
        <v>37</v>
      </c>
    </row>
    <row r="12" spans="3:5" ht="12.75">
      <c r="C12" s="2"/>
      <c r="E12" s="2"/>
    </row>
    <row r="13" spans="2:5" ht="12.75">
      <c r="B13" s="1" t="s">
        <v>17</v>
      </c>
      <c r="C13" s="6">
        <f>IF(C10="","",IF(C10="Vertical-wall abutment",1,IF(C10="Vertical-wall abutment with wing walls",0.82,0.55)))</f>
        <v>0.82</v>
      </c>
      <c r="E13" s="6">
        <f>IF(E10="","",IF(E10="Vertical-wall abutment",1,IF(E10="Vertical-wall abutment with wing walls",0.82,0.55)))</f>
        <v>0.82</v>
      </c>
    </row>
    <row r="14" spans="2:5" ht="12.75">
      <c r="B14" s="1" t="s">
        <v>18</v>
      </c>
      <c r="C14" s="11">
        <f>IF(C7="","",(C11/90)^0.13)</f>
        <v>0.9138314502294005</v>
      </c>
      <c r="E14" s="11">
        <f>IF(E7="","",(E11/90)^0.13)</f>
        <v>0.9138314502294005</v>
      </c>
    </row>
    <row r="15" spans="2:6" ht="12.75">
      <c r="B15" s="1" t="s">
        <v>57</v>
      </c>
      <c r="C15" s="7">
        <f>IF(C7="","",C7*2.27*C13*C14*(C8/C7)^0.43*C9^0.61+1)</f>
        <v>9.073791182410064</v>
      </c>
      <c r="D15" t="s">
        <v>38</v>
      </c>
      <c r="E15" s="7">
        <f>IF(E7="","",E7*2.27*E13*E14*(E8/E7)^0.43*E9^0.61+1)</f>
        <v>3.4615217019542874</v>
      </c>
      <c r="F15" t="s">
        <v>35</v>
      </c>
    </row>
    <row r="16" spans="2:5" ht="12.75">
      <c r="B16" s="1" t="s">
        <v>58</v>
      </c>
      <c r="C16" s="7">
        <f>IF(C6="","",C6*4*C9^0.33*C13/0.55*C14)</f>
        <v>9.971607882422198</v>
      </c>
      <c r="E16" s="7">
        <f>IF(E6="","",E6*4*E9^0.33*E13/0.55*E14)</f>
        <v>3.040124354397012</v>
      </c>
    </row>
    <row r="41" ht="12.75">
      <c r="B41" t="s">
        <v>46</v>
      </c>
    </row>
  </sheetData>
  <dataValidations count="1">
    <dataValidation type="list" allowBlank="1" showInputMessage="1" showErrorMessage="1" sqref="C10 E10">
      <formula1>$A$100:$A$102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Lipscomb</dc:creator>
  <cp:keywords/>
  <dc:description/>
  <cp:lastModifiedBy>Chad M. Lipscomb</cp:lastModifiedBy>
  <dcterms:created xsi:type="dcterms:W3CDTF">2003-03-30T21:01:23Z</dcterms:created>
  <dcterms:modified xsi:type="dcterms:W3CDTF">2003-04-15T22:29:37Z</dcterms:modified>
  <cp:category/>
  <cp:version/>
  <cp:contentType/>
  <cp:contentStatus/>
</cp:coreProperties>
</file>